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Heshbonay Rashi\חשבונאי ראשי\מינוי רוח מבקרים במשרדי הממשלה\ביקורת 2017\שאלות הבהרה\קובץ המכרז לאחר השינויים\"/>
    </mc:Choice>
  </mc:AlternateContent>
  <workbookProtection workbookPassword="C653" lockStructure="1"/>
  <bookViews>
    <workbookView xWindow="0" yWindow="120" windowWidth="19440" windowHeight="9645" firstSheet="1" activeTab="1"/>
  </bookViews>
  <sheets>
    <sheet name="ניקוד יועצים" sheetId="2" state="hidden" r:id="rId1"/>
    <sheet name="נתונים כלליים" sheetId="6" r:id="rId2"/>
    <sheet name="ביקורת" sheetId="11" r:id="rId3"/>
    <sheet name="פילוח עובדים" sheetId="7" r:id="rId4"/>
    <sheet name="הבהרות" sheetId="8" r:id="rId5"/>
  </sheets>
  <calcPr calcId="162913"/>
</workbook>
</file>

<file path=xl/calcChain.xml><?xml version="1.0" encoding="utf-8"?>
<calcChain xmlns="http://schemas.openxmlformats.org/spreadsheetml/2006/main">
  <c r="E13" i="6" l="1"/>
  <c r="G20" i="7" l="1"/>
  <c r="I20" i="7"/>
  <c r="G22" i="7"/>
  <c r="I22" i="7"/>
  <c r="G24" i="7"/>
  <c r="G26" i="7" s="1"/>
  <c r="I24" i="7"/>
  <c r="I26" i="7" l="1"/>
  <c r="H13" i="11" l="1"/>
  <c r="H10" i="11"/>
  <c r="H9" i="11"/>
  <c r="H7" i="11"/>
  <c r="H11" i="6"/>
  <c r="H10" i="6"/>
  <c r="H9" i="6"/>
  <c r="H8" i="6"/>
  <c r="E24" i="2" l="1"/>
  <c r="E3" i="2"/>
  <c r="K4" i="2"/>
  <c r="A7" i="11" l="1"/>
  <c r="A8" i="11"/>
  <c r="A9" i="11"/>
  <c r="A10" i="11"/>
  <c r="A11" i="11"/>
  <c r="A12" i="11"/>
  <c r="A13" i="11"/>
  <c r="A14" i="11"/>
  <c r="K3" i="2" l="1"/>
  <c r="E7" i="6" l="1"/>
  <c r="K22" i="7" l="1"/>
  <c r="H14" i="11" l="1"/>
  <c r="E14" i="11"/>
  <c r="C14" i="11"/>
  <c r="D14" i="11" s="1"/>
  <c r="E13" i="11"/>
  <c r="C13" i="11"/>
  <c r="D13" i="11" s="1"/>
  <c r="E12" i="11"/>
  <c r="C12" i="11"/>
  <c r="D12" i="11" s="1"/>
  <c r="H11" i="11"/>
  <c r="E11" i="11"/>
  <c r="C11" i="11"/>
  <c r="D11" i="11" s="1"/>
  <c r="E10" i="11"/>
  <c r="C10" i="11"/>
  <c r="D10" i="11" s="1"/>
  <c r="E9" i="11"/>
  <c r="C9" i="11"/>
  <c r="D9" i="11" s="1"/>
  <c r="E8" i="11"/>
  <c r="C8" i="11"/>
  <c r="D8" i="11" s="1"/>
  <c r="E7" i="11"/>
  <c r="C7" i="11"/>
  <c r="D7" i="11" s="1"/>
  <c r="H6" i="11"/>
  <c r="E6" i="11"/>
  <c r="C6" i="11"/>
  <c r="D6" i="11" s="1"/>
  <c r="A6" i="11"/>
  <c r="E5" i="11"/>
  <c r="C5" i="11"/>
  <c r="D5" i="11" s="1"/>
  <c r="A5" i="11"/>
  <c r="E4" i="11"/>
  <c r="C4" i="11"/>
  <c r="D4" i="11" s="1"/>
  <c r="A4" i="11"/>
  <c r="E22" i="7" l="1"/>
  <c r="E24" i="7"/>
  <c r="K24" i="7"/>
  <c r="K20" i="7"/>
  <c r="E20" i="7"/>
  <c r="K26" i="7" l="1"/>
  <c r="E26" i="7"/>
  <c r="E9" i="6"/>
  <c r="E8" i="6"/>
  <c r="H12" i="6" l="1"/>
  <c r="H13" i="6"/>
  <c r="A13" i="6"/>
  <c r="Z9" i="7" l="1"/>
  <c r="Z7" i="7"/>
  <c r="Z5" i="7"/>
  <c r="Z11" i="7" l="1"/>
  <c r="E4" i="6"/>
  <c r="E5" i="6"/>
  <c r="E6" i="6"/>
  <c r="E10" i="6"/>
  <c r="E11" i="6"/>
  <c r="E12" i="6"/>
  <c r="E24" i="6"/>
  <c r="E3" i="6"/>
  <c r="A24" i="6"/>
  <c r="H7" i="6"/>
  <c r="C4" i="6"/>
  <c r="D4" i="6" s="1"/>
  <c r="A10" i="6"/>
  <c r="A11" i="6"/>
  <c r="C12" i="6"/>
  <c r="D12" i="6" s="1"/>
  <c r="C19" i="6"/>
  <c r="D24" i="6" s="1"/>
  <c r="F27" i="2"/>
  <c r="D27" i="2"/>
  <c r="K21" i="2"/>
  <c r="K17" i="2"/>
  <c r="K14" i="2"/>
  <c r="K13" i="2"/>
  <c r="K28" i="7" l="1"/>
  <c r="K30" i="7" s="1"/>
  <c r="C5" i="6"/>
  <c r="A5" i="6"/>
  <c r="A7" i="6"/>
  <c r="C7" i="6"/>
  <c r="D7" i="6" s="1"/>
  <c r="A6" i="6"/>
  <c r="C6" i="6"/>
  <c r="D6" i="6" s="1"/>
  <c r="C11" i="6"/>
  <c r="D11" i="6" s="1"/>
  <c r="C20" i="6"/>
  <c r="D25" i="6" s="1"/>
  <c r="A25" i="6"/>
  <c r="A4" i="6"/>
  <c r="C3" i="6"/>
  <c r="D3" i="6" s="1"/>
  <c r="A3" i="6"/>
  <c r="C8" i="6"/>
  <c r="D8" i="6" s="1"/>
  <c r="A8" i="6"/>
  <c r="A12" i="6"/>
  <c r="C10" i="6"/>
  <c r="D10" i="6" s="1"/>
  <c r="I2" i="2"/>
  <c r="I3" i="6" s="1"/>
  <c r="I25" i="2"/>
  <c r="I24" i="2"/>
  <c r="I20" i="2" l="1"/>
  <c r="I11" i="11" s="1"/>
  <c r="J11" i="11" s="1"/>
  <c r="I12" i="2"/>
  <c r="I13" i="6" s="1"/>
  <c r="J13" i="6" s="1"/>
  <c r="I8" i="2"/>
  <c r="I9" i="6" s="1"/>
  <c r="J9" i="6" s="1"/>
  <c r="I5" i="2"/>
  <c r="I19" i="2"/>
  <c r="I10" i="11" s="1"/>
  <c r="J10" i="11" s="1"/>
  <c r="I11" i="2"/>
  <c r="I12" i="6" s="1"/>
  <c r="I7" i="2"/>
  <c r="I23" i="2"/>
  <c r="I14" i="11" s="1"/>
  <c r="J14" i="11" s="1"/>
  <c r="I18" i="2"/>
  <c r="I10" i="2"/>
  <c r="I22" i="2"/>
  <c r="I13" i="11" s="1"/>
  <c r="J13" i="11" s="1"/>
  <c r="I16" i="2"/>
  <c r="I7" i="11" s="1"/>
  <c r="J7" i="11" s="1"/>
  <c r="I9" i="2"/>
  <c r="I6" i="2"/>
  <c r="G6" i="6"/>
  <c r="H6" i="6" s="1"/>
  <c r="F8" i="6"/>
  <c r="F5" i="11"/>
  <c r="F6" i="11"/>
  <c r="F13" i="11"/>
  <c r="F8" i="11"/>
  <c r="F7" i="11"/>
  <c r="F4" i="11"/>
  <c r="F10" i="11"/>
  <c r="F9" i="11"/>
  <c r="F12" i="11"/>
  <c r="F14" i="11"/>
  <c r="F11" i="11"/>
  <c r="F13" i="6"/>
  <c r="F11" i="6"/>
  <c r="I24" i="6"/>
  <c r="J24" i="6" s="1"/>
  <c r="I25" i="6"/>
  <c r="F10" i="6"/>
  <c r="F3" i="6"/>
  <c r="F5" i="6"/>
  <c r="F4" i="6"/>
  <c r="F7" i="6"/>
  <c r="F12" i="6"/>
  <c r="I3" i="2"/>
  <c r="I4" i="6" s="1"/>
  <c r="K2" i="2"/>
  <c r="E27" i="2"/>
  <c r="I17" i="2"/>
  <c r="I8" i="11" s="1"/>
  <c r="I13" i="2"/>
  <c r="I4" i="11" s="1"/>
  <c r="I21" i="2"/>
  <c r="I12" i="11" s="1"/>
  <c r="I15" i="2"/>
  <c r="I6" i="11" s="1"/>
  <c r="J6" i="11" s="1"/>
  <c r="I9" i="11"/>
  <c r="J9" i="11" s="1"/>
  <c r="I14" i="2"/>
  <c r="I5" i="11" s="1"/>
  <c r="I4" i="2"/>
  <c r="I5" i="6" s="1"/>
  <c r="I27" i="2" l="1"/>
  <c r="K8" i="11"/>
  <c r="K12" i="11"/>
  <c r="K4" i="11"/>
  <c r="K5" i="11"/>
  <c r="J25" i="6"/>
  <c r="I6" i="6"/>
  <c r="J12" i="6"/>
  <c r="I11" i="6"/>
  <c r="J11" i="6" s="1"/>
  <c r="I10" i="6"/>
  <c r="J10" i="6" s="1"/>
  <c r="I8" i="6"/>
  <c r="J8" i="6" s="1"/>
  <c r="I7" i="6"/>
  <c r="J7" i="6" s="1"/>
  <c r="K16" i="11" l="1"/>
  <c r="J22" i="6" s="1"/>
  <c r="J6" i="6"/>
  <c r="K5" i="6" l="1"/>
  <c r="K15" i="6" s="1"/>
  <c r="K4" i="6"/>
  <c r="J21" i="6"/>
  <c r="J28" i="6" s="1"/>
  <c r="K3" i="6" l="1"/>
</calcChain>
</file>

<file path=xl/comments1.xml><?xml version="1.0" encoding="utf-8"?>
<comments xmlns="http://schemas.openxmlformats.org/spreadsheetml/2006/main">
  <authors>
    <author>אליסף  אלעזר</author>
  </authors>
  <commentList>
    <comment ref="E6" authorId="0" shapeId="0">
      <text>
        <r>
          <rPr>
            <b/>
            <sz val="9"/>
            <color indexed="81"/>
            <rFont val="Tahoma"/>
            <charset val="177"/>
          </rPr>
          <t>אליסף  אלעזר:</t>
        </r>
        <r>
          <rPr>
            <sz val="9"/>
            <color indexed="81"/>
            <rFont val="Tahoma"/>
            <charset val="177"/>
          </rPr>
          <t xml:space="preserve">
- יש להזין נתונים בלשונית "פילוח עובדים"
</t>
        </r>
      </text>
    </comment>
    <comment ref="E11" authorId="0" shapeId="0">
      <text>
        <r>
          <rPr>
            <b/>
            <sz val="9"/>
            <color indexed="81"/>
            <rFont val="Tahoma"/>
            <charset val="177"/>
          </rPr>
          <t>אליסף  אלעזר:</t>
        </r>
        <r>
          <rPr>
            <sz val="9"/>
            <color indexed="81"/>
            <rFont val="Tahoma"/>
            <charset val="177"/>
          </rPr>
          <t xml:space="preserve">
מחזור הכנסות מדווח בדוח הכספי לשנת 2016</t>
        </r>
      </text>
    </comment>
    <comment ref="E13" authorId="0" shapeId="0">
      <text>
        <r>
          <rPr>
            <b/>
            <sz val="9"/>
            <color indexed="81"/>
            <rFont val="Tahoma"/>
            <charset val="177"/>
          </rPr>
          <t>אליסף  אלעזר:</t>
        </r>
        <r>
          <rPr>
            <sz val="9"/>
            <color indexed="81"/>
            <rFont val="Tahoma"/>
            <charset val="177"/>
          </rPr>
          <t xml:space="preserve">
הערכות שווי בסך 10 מ' ₪ ומעלה בלבד, לכל הערכה</t>
        </r>
      </text>
    </comment>
  </commentList>
</comments>
</file>

<file path=xl/comments2.xml><?xml version="1.0" encoding="utf-8"?>
<comments xmlns="http://schemas.openxmlformats.org/spreadsheetml/2006/main">
  <authors>
    <author>אליסף  אלעזר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רו"ח ומתמחים</t>
        </r>
      </text>
    </comment>
    <comment ref="E9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במשרדי רו"ח
- יש לצרף קורות חיים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בעלי מחזור הכנסות מדווח של למעלה מ- 100 מ' ₪ בכל אחת מהשנים 2014-2016
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שנות עבודה כרו"ח, לא כולל התמחות.
- יש לצרף קודות חיים</t>
        </r>
      </text>
    </comment>
    <comment ref="E14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שנות עבודה כרו"ח, לא כולל התמחות.</t>
        </r>
      </text>
    </comment>
  </commentList>
</comments>
</file>

<file path=xl/sharedStrings.xml><?xml version="1.0" encoding="utf-8"?>
<sst xmlns="http://schemas.openxmlformats.org/spreadsheetml/2006/main" count="233" uniqueCount="126">
  <si>
    <t>איכות ההצעה</t>
  </si>
  <si>
    <t>נושא</t>
  </si>
  <si>
    <t>סעיף</t>
  </si>
  <si>
    <t>שם</t>
  </si>
  <si>
    <t>רמה I</t>
  </si>
  <si>
    <t>רמה II</t>
  </si>
  <si>
    <t>רמה III</t>
  </si>
  <si>
    <t>אבסולוטי</t>
  </si>
  <si>
    <t>פרמטרים</t>
  </si>
  <si>
    <t>1.2</t>
  </si>
  <si>
    <t>הצעת מחיר</t>
  </si>
  <si>
    <t>1.7</t>
  </si>
  <si>
    <t>הצגת מסמכים</t>
  </si>
  <si>
    <t>1.8</t>
  </si>
  <si>
    <t>1.7.1</t>
  </si>
  <si>
    <t>נתונים כלליים</t>
  </si>
  <si>
    <t>1.7.1.1</t>
  </si>
  <si>
    <t>מספר עובדים</t>
  </si>
  <si>
    <t>1.7.1.2</t>
  </si>
  <si>
    <t>1.7.1.4</t>
  </si>
  <si>
    <t>1.7.1.5</t>
  </si>
  <si>
    <t>1.7.1.6</t>
  </si>
  <si>
    <t>חברות בפירמה בינלאומית</t>
  </si>
  <si>
    <t>מספר לקוחות ביקורת נסחרים בארץ</t>
  </si>
  <si>
    <t>מספר לקוחות ביקורת נסחרים בחו"ל</t>
  </si>
  <si>
    <t>1.7.1.7</t>
  </si>
  <si>
    <t>חברות בגופים מקצועיים</t>
  </si>
  <si>
    <t>רמה IV</t>
  </si>
  <si>
    <t>רמה V</t>
  </si>
  <si>
    <t>שירותי ביקורת</t>
  </si>
  <si>
    <t>שותף מחלקת ביקורת</t>
  </si>
  <si>
    <t>צוות הביקורת</t>
  </si>
  <si>
    <t xml:space="preserve">מספר שנות עבודה כשותף </t>
  </si>
  <si>
    <t>סיכומי ביניים</t>
  </si>
  <si>
    <t>מרכז/רושם</t>
  </si>
  <si>
    <t>מרכז</t>
  </si>
  <si>
    <t>רושם</t>
  </si>
  <si>
    <t>נתון אבסולוטי</t>
  </si>
  <si>
    <t>ציון ב- % מתוך 100% לסעיף ספציפי</t>
  </si>
  <si>
    <t>ציון אבסולוטי לסעיף</t>
  </si>
  <si>
    <t>מספר עובדים במשרד</t>
  </si>
  <si>
    <t>מקסימום ציון אבסולוטי לסעיף</t>
  </si>
  <si>
    <t>הסבר לציון</t>
  </si>
  <si>
    <t>כן = 1 לא = 0</t>
  </si>
  <si>
    <t>11111</t>
  </si>
  <si>
    <t>כל חברה = 10%</t>
  </si>
  <si>
    <t>סיכומי ציון אבסולוטי</t>
  </si>
  <si>
    <t>כל עובד = 0.5%</t>
  </si>
  <si>
    <t>כל לקוח 20%</t>
  </si>
  <si>
    <t>נתוני המשרד:</t>
  </si>
  <si>
    <t>מדדים- 100%</t>
  </si>
  <si>
    <t>ביקורת</t>
  </si>
  <si>
    <t>מקצועית</t>
  </si>
  <si>
    <t>ענ"א</t>
  </si>
  <si>
    <t>מח' מקצועיות אחרות</t>
  </si>
  <si>
    <t>סה"כ</t>
  </si>
  <si>
    <t>שותפים</t>
  </si>
  <si>
    <t>רו"ח</t>
  </si>
  <si>
    <t>הציון:</t>
  </si>
  <si>
    <t>יש להזין נתון</t>
  </si>
  <si>
    <t>1.7.1.8</t>
  </si>
  <si>
    <t>1.7.1.9</t>
  </si>
  <si>
    <t>*</t>
  </si>
  <si>
    <t>להזנה ע"י החשכ"ל</t>
  </si>
  <si>
    <t>למשלוח שאלות הבהרה יש לפנות בדוא"ל לרו"ח אליסף אלעזר elyasafe@mof.gov.il</t>
  </si>
  <si>
    <t>הבהרות נוספות:</t>
  </si>
  <si>
    <t>מתמחים ועובדים מקצועיים אחרים</t>
  </si>
  <si>
    <t>הפנייה לנספח מצורף</t>
  </si>
  <si>
    <t>סיכום ביניים</t>
  </si>
  <si>
    <t>ציון סופי</t>
  </si>
  <si>
    <t>נספח א</t>
  </si>
  <si>
    <t>ריאיון+ממליצים</t>
  </si>
  <si>
    <t>כל שנה = 25%</t>
  </si>
  <si>
    <t xml:space="preserve">* </t>
  </si>
  <si>
    <t>שינויים/תיקונים רשאי המציע לפסול את ההצעה ולא לדון בה כלל ולמגיש ההצעה לא תהיה כל טענה בעניין.</t>
  </si>
  <si>
    <t>מגיש ההצעה אינו רשאי להכניס תיקונים ו/או שינויים כלשהם בקובץ זה (פרט לתאים הצבועים בתכלת). במידה וייעשו</t>
  </si>
  <si>
    <t>ייתכן ומגיש ההצעה יידרש להעביר אסמכתאות נוספות לנתונים.</t>
  </si>
  <si>
    <t>מסכם/ רושם</t>
  </si>
  <si>
    <t>סיכום ביניים נתונים כלליים</t>
  </si>
  <si>
    <t>סיכום ביניים ביקורת</t>
  </si>
  <si>
    <t>סיכום כולל</t>
  </si>
  <si>
    <t>ציון מקסימאלי</t>
  </si>
  <si>
    <t xml:space="preserve">לשונית "פילוח עובדים" </t>
  </si>
  <si>
    <t>-</t>
  </si>
  <si>
    <t>תנאי סף</t>
  </si>
  <si>
    <t xml:space="preserve">סדר הקובץ שיצורף יהא כדלקמן: </t>
  </si>
  <si>
    <t>לשונית "נתונים כלליים" סרוקה וחתומה ע"י השותף האחראי על הקשר מול המזמין</t>
  </si>
  <si>
    <t>לשונית "ביקורת" סרוקה וחתומה ע"י השותף הרלוונטי במחלקה</t>
  </si>
  <si>
    <t>יש לשים לב להערות המצורפות לסעיפים השונים.</t>
  </si>
  <si>
    <t xml:space="preserve">בכל מקרה של סתירה בין קובץ זה לדרישות מסמכי הפנייה לקבלת הצעות יחולו הוראות הפנייה. </t>
  </si>
  <si>
    <t>יש למלא את השדות הצבועים בתכלת בלבד.</t>
  </si>
  <si>
    <t>1.7.2</t>
  </si>
  <si>
    <t>1.7.2.1</t>
  </si>
  <si>
    <t>1.7.2.1.1</t>
  </si>
  <si>
    <t>1.7.2.1.2</t>
  </si>
  <si>
    <t>1.7.2.2</t>
  </si>
  <si>
    <t>1.7.2.2.1</t>
  </si>
  <si>
    <t>1.7.2.2.2</t>
  </si>
  <si>
    <t>1.7.2.2.3</t>
  </si>
  <si>
    <t>1.7.2.3</t>
  </si>
  <si>
    <t>1.7.2.3.1</t>
  </si>
  <si>
    <t>1.7.2.3.2</t>
  </si>
  <si>
    <t xml:space="preserve">מספר לקוחות להם מחזור של מעל 500 מיליון ₪ </t>
  </si>
  <si>
    <t>מחלקת הביקורת</t>
  </si>
  <si>
    <t>ציון כולל (מתוך 3.3%)</t>
  </si>
  <si>
    <t>כל חברה = 5%</t>
  </si>
  <si>
    <t>כל לקוח = 20%</t>
  </si>
  <si>
    <t>כל חברה = 6.667%</t>
  </si>
  <si>
    <t>כל חברה = 20%</t>
  </si>
  <si>
    <t>כל שותף = 10%</t>
  </si>
  <si>
    <t>כל שנה = 12.5%</t>
  </si>
  <si>
    <t>כל גוף = 50%</t>
  </si>
  <si>
    <t>כל שנה = 14.29%</t>
  </si>
  <si>
    <t xml:space="preserve">בסעיפים בהם צורף נספח יש לציין בעמודה L את האות המתייחסת לנספח (לדוגמא: נספח א ). </t>
  </si>
  <si>
    <t>במידה ולא קיימים מסמכים לצירוף לאותו הסעיף, יש לציין "לא קיימים מסמכים".</t>
  </si>
  <si>
    <t>נספחים רלוונטיים</t>
  </si>
  <si>
    <t>מספר תשקיפים שהוגשו בשנים 2015-2016</t>
  </si>
  <si>
    <t>מספר הערכות שווי שבוצעו בשנים 2015-2016</t>
  </si>
  <si>
    <t>מספר השותפים המנהלים צוותים של מעל 10 עובדים</t>
  </si>
  <si>
    <t>מספר לקוחות ביקורת נסחרים/חברות ממשלתיות, בארץ או בחו"ל</t>
  </si>
  <si>
    <t>נסיון מנהל הביקורת</t>
  </si>
  <si>
    <t>מספר שנות נסיון של הצוות (לא כולל מנהל הביקורת והשותף)</t>
  </si>
  <si>
    <t>הנתונים יוזנו כפי שהם נכון ליום 31 בדצמבר 2016, אלא אם כן צוין אחרת.</t>
  </si>
  <si>
    <t>בנוסף לשליחת הקובץ כקובץ EXCEL לכתובת excelnikud@mof.gov.il, על המציע לצרף מסמך זה כשהוא סרוק</t>
  </si>
  <si>
    <t>כקובץ PDF למעטפות המכרז (כמופיע בפרק ד' למסמכי המכרז) ואליו יצורפו כלל הנספחים הרלוונטיים.</t>
  </si>
  <si>
    <t>מספר לקוחות ביקורת הנכללים במדד ת"א 125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</si>
</sst>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0" tint="-0.249977111117893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9"/>
      <color indexed="81"/>
      <name val="Tahoma"/>
      <charset val="177"/>
    </font>
    <font>
      <b/>
      <sz val="9"/>
      <color indexed="81"/>
      <name val="Tahoma"/>
      <charset val="177"/>
    </font>
    <font>
      <b/>
      <u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Arial"/>
      <family val="2"/>
      <charset val="177"/>
      <scheme val="minor"/>
    </font>
    <font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63">
    <xf numFmtId="0" fontId="0" fillId="0" borderId="0" xfId="0"/>
    <xf numFmtId="0" fontId="0" fillId="0" borderId="1" xfId="0" applyBorder="1"/>
    <xf numFmtId="164" fontId="0" fillId="0" borderId="1" xfId="0" applyNumberFormat="1" applyBorder="1"/>
    <xf numFmtId="164" fontId="1" fillId="0" borderId="1" xfId="0" applyNumberFormat="1" applyFont="1" applyBorder="1"/>
    <xf numFmtId="164" fontId="0" fillId="0" borderId="1" xfId="0" applyNumberFormat="1" applyFill="1" applyBorder="1"/>
    <xf numFmtId="164" fontId="0" fillId="0" borderId="0" xfId="0" applyNumberFormat="1"/>
    <xf numFmtId="49" fontId="0" fillId="0" borderId="1" xfId="0" applyNumberFormat="1" applyBorder="1" applyAlignment="1">
      <alignment horizontal="right" vertical="center" readingOrder="2"/>
    </xf>
    <xf numFmtId="0" fontId="0" fillId="0" borderId="1" xfId="0" applyFill="1" applyBorder="1" applyAlignment="1">
      <alignment horizontal="right" vertical="top" readingOrder="2"/>
    </xf>
    <xf numFmtId="49" fontId="0" fillId="0" borderId="1" xfId="0" applyNumberFormat="1" applyFill="1" applyBorder="1" applyAlignment="1">
      <alignment horizontal="right" vertical="center" readingOrder="2"/>
    </xf>
    <xf numFmtId="0" fontId="0" fillId="0" borderId="0" xfId="0" applyFill="1"/>
    <xf numFmtId="164" fontId="0" fillId="0" borderId="1" xfId="0" applyNumberFormat="1" applyFill="1" applyBorder="1" applyAlignment="1">
      <alignment horizontal="right" wrapText="1"/>
    </xf>
    <xf numFmtId="164" fontId="2" fillId="0" borderId="1" xfId="0" applyNumberFormat="1" applyFont="1" applyFill="1" applyBorder="1"/>
    <xf numFmtId="164" fontId="0" fillId="0" borderId="0" xfId="0" applyNumberFormat="1" applyFill="1"/>
    <xf numFmtId="9" fontId="0" fillId="0" borderId="0" xfId="1" applyFont="1"/>
    <xf numFmtId="9" fontId="0" fillId="0" borderId="1" xfId="1" applyFont="1" applyBorder="1"/>
    <xf numFmtId="164" fontId="0" fillId="0" borderId="1" xfId="1" applyNumberFormat="1" applyFont="1" applyBorder="1"/>
    <xf numFmtId="164" fontId="0" fillId="2" borderId="0" xfId="1" applyNumberFormat="1" applyFont="1" applyFill="1"/>
    <xf numFmtId="0" fontId="0" fillId="3" borderId="1" xfId="0" applyFill="1" applyBorder="1" applyAlignment="1">
      <alignment wrapText="1"/>
    </xf>
    <xf numFmtId="0" fontId="0" fillId="3" borderId="1" xfId="0" applyFill="1" applyBorder="1"/>
    <xf numFmtId="164" fontId="0" fillId="3" borderId="0" xfId="0" applyNumberFormat="1" applyFill="1" applyAlignment="1">
      <alignment readingOrder="2"/>
    </xf>
    <xf numFmtId="0" fontId="0" fillId="3" borderId="1" xfId="0" applyFill="1" applyBorder="1" applyAlignment="1">
      <alignment horizontal="right" vertical="center" readingOrder="2"/>
    </xf>
    <xf numFmtId="164" fontId="0" fillId="3" borderId="1" xfId="0" applyNumberFormat="1" applyFill="1" applyBorder="1"/>
    <xf numFmtId="164" fontId="0" fillId="3" borderId="1" xfId="0" applyNumberFormat="1" applyFill="1" applyBorder="1" applyAlignment="1">
      <alignment readingOrder="2"/>
    </xf>
    <xf numFmtId="0" fontId="6" fillId="0" borderId="0" xfId="0" applyFont="1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9" fontId="0" fillId="0" borderId="2" xfId="1" applyFon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1" xfId="0" applyNumberFormat="1" applyBorder="1"/>
    <xf numFmtId="0" fontId="0" fillId="0" borderId="1" xfId="0" applyFill="1" applyBorder="1"/>
    <xf numFmtId="0" fontId="0" fillId="4" borderId="1" xfId="0" applyFill="1" applyBorder="1"/>
    <xf numFmtId="0" fontId="0" fillId="4" borderId="0" xfId="0" applyFill="1" applyAlignment="1">
      <alignment horizontal="center"/>
    </xf>
    <xf numFmtId="164" fontId="9" fillId="0" borderId="1" xfId="0" applyNumberFormat="1" applyFont="1" applyFill="1" applyBorder="1"/>
    <xf numFmtId="10" fontId="0" fillId="0" borderId="1" xfId="0" applyNumberFormat="1" applyBorder="1"/>
    <xf numFmtId="1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Border="1"/>
    <xf numFmtId="9" fontId="0" fillId="0" borderId="0" xfId="1" applyFont="1" applyBorder="1"/>
    <xf numFmtId="164" fontId="0" fillId="5" borderId="0" xfId="0" applyNumberFormat="1" applyFill="1"/>
    <xf numFmtId="164" fontId="0" fillId="2" borderId="0" xfId="0" applyNumberFormat="1" applyFill="1"/>
    <xf numFmtId="0" fontId="0" fillId="3" borderId="1" xfId="0" applyFill="1" applyBorder="1" applyAlignment="1">
      <alignment horizontal="center" vertical="center" wrapText="1"/>
    </xf>
    <xf numFmtId="164" fontId="0" fillId="0" borderId="0" xfId="1" applyNumberFormat="1" applyFont="1" applyFill="1"/>
    <xf numFmtId="9" fontId="6" fillId="0" borderId="0" xfId="1" applyFont="1"/>
    <xf numFmtId="164" fontId="0" fillId="0" borderId="4" xfId="1" applyNumberFormat="1" applyFont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right" readingOrder="2"/>
    </xf>
    <xf numFmtId="2" fontId="0" fillId="0" borderId="0" xfId="0" applyNumberFormat="1"/>
    <xf numFmtId="0" fontId="0" fillId="0" borderId="0" xfId="0" applyFill="1" applyBorder="1"/>
    <xf numFmtId="2" fontId="2" fillId="0" borderId="0" xfId="0" applyNumberFormat="1" applyFont="1" applyFill="1" applyBorder="1" applyAlignment="1">
      <alignment horizontal="center"/>
    </xf>
    <xf numFmtId="2" fontId="10" fillId="0" borderId="3" xfId="0" applyNumberFormat="1" applyFont="1" applyFill="1" applyBorder="1" applyAlignment="1">
      <alignment horizontal="center"/>
    </xf>
    <xf numFmtId="10" fontId="2" fillId="2" borderId="5" xfId="1" applyNumberFormat="1" applyFont="1" applyFill="1" applyBorder="1" applyAlignment="1">
      <alignment horizontal="center"/>
    </xf>
    <xf numFmtId="165" fontId="0" fillId="0" borderId="0" xfId="0" applyNumberFormat="1"/>
    <xf numFmtId="10" fontId="0" fillId="0" borderId="0" xfId="1" applyNumberFormat="1" applyFont="1" applyFill="1"/>
    <xf numFmtId="0" fontId="0" fillId="6" borderId="0" xfId="0" applyFill="1"/>
    <xf numFmtId="9" fontId="0" fillId="0" borderId="1" xfId="0" applyNumberFormat="1" applyBorder="1"/>
    <xf numFmtId="9" fontId="0" fillId="0" borderId="1" xfId="0" applyNumberForma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34"/>
  <sheetViews>
    <sheetView rightToLeft="1" zoomScaleNormal="100" workbookViewId="0">
      <selection activeCell="C9" sqref="C9"/>
    </sheetView>
  </sheetViews>
  <sheetFormatPr defaultRowHeight="14.25" x14ac:dyDescent="0.2"/>
  <cols>
    <col min="2" max="2" width="10.5" bestFit="1" customWidth="1"/>
    <col min="3" max="3" width="42.625" customWidth="1"/>
  </cols>
  <sheetData>
    <row r="1" spans="1:19" x14ac:dyDescent="0.2">
      <c r="A1" s="20" t="s">
        <v>2</v>
      </c>
      <c r="B1" s="17" t="s">
        <v>1</v>
      </c>
      <c r="C1" s="17" t="s">
        <v>3</v>
      </c>
      <c r="D1" s="21" t="s">
        <v>4</v>
      </c>
      <c r="E1" s="21" t="s">
        <v>5</v>
      </c>
      <c r="F1" s="21" t="s">
        <v>6</v>
      </c>
      <c r="G1" s="21" t="s">
        <v>27</v>
      </c>
      <c r="H1" s="21" t="s">
        <v>28</v>
      </c>
      <c r="I1" s="18" t="s">
        <v>7</v>
      </c>
      <c r="J1" s="22" t="s">
        <v>8</v>
      </c>
      <c r="K1" s="19" t="s">
        <v>33</v>
      </c>
      <c r="L1" s="19" t="s">
        <v>34</v>
      </c>
      <c r="S1" s="9" t="s">
        <v>35</v>
      </c>
    </row>
    <row r="2" spans="1:19" s="9" customFormat="1" x14ac:dyDescent="0.2">
      <c r="A2" s="8" t="s">
        <v>9</v>
      </c>
      <c r="B2" s="4" t="s">
        <v>0</v>
      </c>
      <c r="C2" s="4"/>
      <c r="D2" s="4">
        <v>0.75</v>
      </c>
      <c r="E2" s="4"/>
      <c r="F2" s="4"/>
      <c r="G2" s="4"/>
      <c r="H2" s="4"/>
      <c r="I2" s="4">
        <f>D2</f>
        <v>0.75</v>
      </c>
      <c r="J2" s="4"/>
      <c r="K2" s="12">
        <f>E3+E24</f>
        <v>1</v>
      </c>
      <c r="L2" s="9" t="s">
        <v>35</v>
      </c>
      <c r="S2" s="9" t="s">
        <v>36</v>
      </c>
    </row>
    <row r="3" spans="1:19" s="9" customFormat="1" x14ac:dyDescent="0.2">
      <c r="A3" s="8" t="s">
        <v>11</v>
      </c>
      <c r="B3" s="4"/>
      <c r="C3" s="4" t="s">
        <v>12</v>
      </c>
      <c r="D3" s="4"/>
      <c r="E3" s="4">
        <f>54/75</f>
        <v>0.72</v>
      </c>
      <c r="F3" s="4"/>
      <c r="G3" s="4"/>
      <c r="H3" s="4"/>
      <c r="I3" s="4">
        <f>E3*D2</f>
        <v>0.54</v>
      </c>
      <c r="J3" s="4"/>
      <c r="K3" s="12">
        <f>F4+F13</f>
        <v>1</v>
      </c>
      <c r="L3" s="9" t="s">
        <v>35</v>
      </c>
    </row>
    <row r="4" spans="1:19" s="9" customFormat="1" x14ac:dyDescent="0.2">
      <c r="A4" s="8" t="s">
        <v>14</v>
      </c>
      <c r="B4" s="4"/>
      <c r="C4" s="4" t="s">
        <v>15</v>
      </c>
      <c r="D4" s="4"/>
      <c r="E4" s="4"/>
      <c r="F4" s="62">
        <v>0.40100000000000002</v>
      </c>
      <c r="G4" s="35"/>
      <c r="H4" s="4"/>
      <c r="I4" s="4">
        <f>F4*E3*$D$2</f>
        <v>0.21654000000000001</v>
      </c>
      <c r="J4" s="7"/>
      <c r="K4" s="12">
        <f>G5+G6+G7+G9+G10+G11+G12+G8</f>
        <v>1.0004999999999999</v>
      </c>
      <c r="L4" s="9" t="s">
        <v>35</v>
      </c>
    </row>
    <row r="5" spans="1:19" s="9" customFormat="1" x14ac:dyDescent="0.2">
      <c r="A5" s="8" t="s">
        <v>16</v>
      </c>
      <c r="B5" s="4"/>
      <c r="C5" s="4" t="s">
        <v>40</v>
      </c>
      <c r="D5" s="4"/>
      <c r="E5" s="4"/>
      <c r="F5" s="4"/>
      <c r="G5" s="4">
        <v>0.15049999999999999</v>
      </c>
      <c r="H5" s="4"/>
      <c r="I5" s="4">
        <f t="shared" ref="I5:I12" si="0">ROUND($F$4*$E$3*D$2*G5,3)</f>
        <v>3.3000000000000002E-2</v>
      </c>
      <c r="J5" s="7"/>
      <c r="L5" s="9" t="s">
        <v>36</v>
      </c>
    </row>
    <row r="6" spans="1:19" s="9" customFormat="1" x14ac:dyDescent="0.2">
      <c r="A6" s="8" t="s">
        <v>18</v>
      </c>
      <c r="B6" s="4"/>
      <c r="C6" s="4" t="s">
        <v>22</v>
      </c>
      <c r="D6" s="4"/>
      <c r="E6" s="4"/>
      <c r="F6" s="4"/>
      <c r="G6" s="4">
        <v>0.12</v>
      </c>
      <c r="H6" s="4"/>
      <c r="I6" s="4">
        <f t="shared" si="0"/>
        <v>2.5999999999999999E-2</v>
      </c>
      <c r="J6" s="7"/>
      <c r="L6" s="9" t="s">
        <v>36</v>
      </c>
    </row>
    <row r="7" spans="1:19" s="9" customFormat="1" x14ac:dyDescent="0.2">
      <c r="A7" s="8" t="s">
        <v>19</v>
      </c>
      <c r="B7" s="4"/>
      <c r="C7" s="10" t="s">
        <v>23</v>
      </c>
      <c r="D7" s="4"/>
      <c r="E7" s="4"/>
      <c r="F7" s="4"/>
      <c r="G7" s="4">
        <v>0.12</v>
      </c>
      <c r="H7" s="4"/>
      <c r="I7" s="4">
        <f t="shared" si="0"/>
        <v>2.5999999999999999E-2</v>
      </c>
      <c r="J7" s="7"/>
      <c r="L7" s="9" t="s">
        <v>36</v>
      </c>
    </row>
    <row r="8" spans="1:19" s="9" customFormat="1" x14ac:dyDescent="0.2">
      <c r="A8" s="8" t="s">
        <v>20</v>
      </c>
      <c r="B8" s="4"/>
      <c r="C8" s="32" t="s">
        <v>125</v>
      </c>
      <c r="D8" s="4"/>
      <c r="E8" s="4"/>
      <c r="F8" s="4"/>
      <c r="G8" s="4">
        <v>0.08</v>
      </c>
      <c r="H8" s="4"/>
      <c r="I8" s="4">
        <f t="shared" si="0"/>
        <v>1.7000000000000001E-2</v>
      </c>
      <c r="J8" s="7"/>
      <c r="L8" s="9" t="s">
        <v>36</v>
      </c>
    </row>
    <row r="9" spans="1:19" s="9" customFormat="1" x14ac:dyDescent="0.2">
      <c r="A9" s="8" t="s">
        <v>21</v>
      </c>
      <c r="B9" s="4"/>
      <c r="C9" s="10" t="s">
        <v>24</v>
      </c>
      <c r="D9" s="4"/>
      <c r="E9" s="4"/>
      <c r="F9" s="4"/>
      <c r="G9" s="4">
        <v>0.08</v>
      </c>
      <c r="H9" s="4"/>
      <c r="I9" s="4">
        <f t="shared" si="0"/>
        <v>1.7000000000000001E-2</v>
      </c>
      <c r="J9" s="7"/>
      <c r="L9" s="9" t="s">
        <v>36</v>
      </c>
    </row>
    <row r="10" spans="1:19" s="9" customFormat="1" x14ac:dyDescent="0.2">
      <c r="A10" s="8" t="s">
        <v>25</v>
      </c>
      <c r="B10" s="4"/>
      <c r="C10" s="10" t="s">
        <v>102</v>
      </c>
      <c r="D10" s="4"/>
      <c r="E10" s="4"/>
      <c r="F10" s="4"/>
      <c r="G10" s="4">
        <v>0.25</v>
      </c>
      <c r="H10" s="4"/>
      <c r="I10" s="4">
        <f t="shared" si="0"/>
        <v>5.3999999999999999E-2</v>
      </c>
      <c r="J10" s="7"/>
      <c r="L10" s="9" t="s">
        <v>36</v>
      </c>
    </row>
    <row r="11" spans="1:19" s="9" customFormat="1" ht="15" x14ac:dyDescent="0.25">
      <c r="A11" s="8" t="s">
        <v>60</v>
      </c>
      <c r="B11" s="4"/>
      <c r="C11" s="10" t="s">
        <v>116</v>
      </c>
      <c r="D11" s="4"/>
      <c r="E11" s="11"/>
      <c r="F11" s="4"/>
      <c r="G11" s="4">
        <v>0.1</v>
      </c>
      <c r="H11" s="4"/>
      <c r="I11" s="4">
        <f t="shared" si="0"/>
        <v>2.1999999999999999E-2</v>
      </c>
      <c r="J11" s="7"/>
      <c r="L11" s="9" t="s">
        <v>36</v>
      </c>
    </row>
    <row r="12" spans="1:19" s="9" customFormat="1" ht="15" x14ac:dyDescent="0.25">
      <c r="A12" s="8" t="s">
        <v>61</v>
      </c>
      <c r="B12" s="4"/>
      <c r="C12" s="9" t="s">
        <v>117</v>
      </c>
      <c r="D12" s="4"/>
      <c r="E12" s="11"/>
      <c r="F12" s="4"/>
      <c r="G12" s="4">
        <v>0.1</v>
      </c>
      <c r="H12" s="4"/>
      <c r="I12" s="4">
        <f t="shared" si="0"/>
        <v>2.1999999999999999E-2</v>
      </c>
      <c r="J12" s="7"/>
      <c r="L12" s="9" t="s">
        <v>36</v>
      </c>
    </row>
    <row r="13" spans="1:19" x14ac:dyDescent="0.2">
      <c r="A13" s="6" t="s">
        <v>91</v>
      </c>
      <c r="B13" s="2"/>
      <c r="C13" s="10" t="s">
        <v>29</v>
      </c>
      <c r="D13" s="2"/>
      <c r="E13" s="3"/>
      <c r="F13" s="61">
        <v>0.59899999999999998</v>
      </c>
      <c r="G13" s="2"/>
      <c r="H13" s="2"/>
      <c r="I13" s="4">
        <f>D2*E3*F13</f>
        <v>0.32346000000000003</v>
      </c>
      <c r="J13" s="7"/>
      <c r="K13" s="5">
        <f>G14+G17+G21</f>
        <v>1</v>
      </c>
      <c r="L13" s="9" t="s">
        <v>35</v>
      </c>
    </row>
    <row r="14" spans="1:19" x14ac:dyDescent="0.2">
      <c r="A14" s="6" t="s">
        <v>92</v>
      </c>
      <c r="B14" s="2"/>
      <c r="C14" s="10" t="s">
        <v>103</v>
      </c>
      <c r="D14" s="2"/>
      <c r="E14" s="3"/>
      <c r="F14" s="2"/>
      <c r="G14" s="2">
        <v>0.1</v>
      </c>
      <c r="H14" s="2"/>
      <c r="I14" s="4">
        <f>D2*E3*F13*G14</f>
        <v>3.2346000000000007E-2</v>
      </c>
      <c r="J14" s="7"/>
      <c r="K14" s="5">
        <f>H15+H16</f>
        <v>1</v>
      </c>
      <c r="L14" s="9" t="s">
        <v>35</v>
      </c>
    </row>
    <row r="15" spans="1:19" x14ac:dyDescent="0.2">
      <c r="A15" s="6" t="s">
        <v>93</v>
      </c>
      <c r="B15" s="2"/>
      <c r="C15" s="10" t="s">
        <v>17</v>
      </c>
      <c r="D15" s="2"/>
      <c r="E15" s="3"/>
      <c r="F15" s="36"/>
      <c r="G15" s="2"/>
      <c r="H15" s="2"/>
      <c r="I15" s="4">
        <f>D2*E3*F13*G14*H15</f>
        <v>0</v>
      </c>
      <c r="J15" s="7"/>
      <c r="L15" s="9" t="s">
        <v>36</v>
      </c>
    </row>
    <row r="16" spans="1:19" x14ac:dyDescent="0.2">
      <c r="A16" s="6" t="s">
        <v>94</v>
      </c>
      <c r="B16" s="2"/>
      <c r="C16" s="10" t="s">
        <v>118</v>
      </c>
      <c r="D16" s="2"/>
      <c r="E16" s="2"/>
      <c r="F16" s="2"/>
      <c r="G16" s="2"/>
      <c r="H16" s="2">
        <v>1</v>
      </c>
      <c r="I16" s="4">
        <f>ROUND(D2*E3*F13*G14*H16,3)</f>
        <v>3.2000000000000001E-2</v>
      </c>
      <c r="J16" s="7"/>
      <c r="L16" s="9" t="s">
        <v>36</v>
      </c>
    </row>
    <row r="17" spans="1:14" x14ac:dyDescent="0.2">
      <c r="A17" s="6" t="s">
        <v>95</v>
      </c>
      <c r="B17" s="2"/>
      <c r="C17" s="10" t="s">
        <v>30</v>
      </c>
      <c r="D17" s="2"/>
      <c r="E17" s="2"/>
      <c r="F17" s="2"/>
      <c r="G17" s="2">
        <v>0.4</v>
      </c>
      <c r="H17" s="2"/>
      <c r="I17" s="4">
        <f>D2*E3*F13*G17</f>
        <v>0.12938400000000003</v>
      </c>
      <c r="J17" s="7"/>
      <c r="K17" s="5">
        <f>H18+H19+H20</f>
        <v>1</v>
      </c>
      <c r="L17" s="9" t="s">
        <v>35</v>
      </c>
    </row>
    <row r="18" spans="1:14" ht="15" x14ac:dyDescent="0.25">
      <c r="A18" s="6" t="s">
        <v>96</v>
      </c>
      <c r="B18" s="4"/>
      <c r="C18" s="10" t="s">
        <v>32</v>
      </c>
      <c r="D18" s="4"/>
      <c r="E18" s="11"/>
      <c r="F18" s="4"/>
      <c r="G18" s="4"/>
      <c r="H18" s="4">
        <v>0.45</v>
      </c>
      <c r="I18" s="4">
        <f>ROUND($D$2*$E$3*$F$13*$G$17*H18,3)</f>
        <v>5.8000000000000003E-2</v>
      </c>
      <c r="J18" s="7"/>
      <c r="L18" s="9" t="s">
        <v>36</v>
      </c>
    </row>
    <row r="19" spans="1:14" x14ac:dyDescent="0.2">
      <c r="A19" s="6" t="s">
        <v>97</v>
      </c>
      <c r="B19" s="4"/>
      <c r="C19" s="10" t="s">
        <v>26</v>
      </c>
      <c r="D19" s="4"/>
      <c r="E19" s="4"/>
      <c r="F19" s="4"/>
      <c r="G19" s="4"/>
      <c r="H19" s="4">
        <v>0.15</v>
      </c>
      <c r="I19" s="4">
        <f>ROUND($D$2*$E$3*$F$13*$G$17*H19,3)</f>
        <v>1.9E-2</v>
      </c>
      <c r="J19" s="7"/>
      <c r="L19" s="9" t="s">
        <v>36</v>
      </c>
    </row>
    <row r="20" spans="1:14" ht="28.5" x14ac:dyDescent="0.2">
      <c r="A20" s="6" t="s">
        <v>98</v>
      </c>
      <c r="B20" s="4"/>
      <c r="C20" s="10" t="s">
        <v>119</v>
      </c>
      <c r="D20" s="4"/>
      <c r="E20" s="4"/>
      <c r="F20" s="4"/>
      <c r="G20" s="4"/>
      <c r="H20" s="4">
        <v>0.4</v>
      </c>
      <c r="I20" s="4">
        <f>ROUND($D$2*$E$3*$F$13*$G$17*H20,3)</f>
        <v>5.1999999999999998E-2</v>
      </c>
      <c r="J20" s="7"/>
      <c r="L20" s="9" t="s">
        <v>36</v>
      </c>
    </row>
    <row r="21" spans="1:14" x14ac:dyDescent="0.2">
      <c r="A21" s="6" t="s">
        <v>99</v>
      </c>
      <c r="B21" s="4"/>
      <c r="C21" s="10" t="s">
        <v>31</v>
      </c>
      <c r="D21" s="4"/>
      <c r="E21" s="4"/>
      <c r="F21" s="4"/>
      <c r="G21" s="4">
        <v>0.5</v>
      </c>
      <c r="H21" s="4"/>
      <c r="I21" s="4">
        <f>D2*E3*F13*G21</f>
        <v>0.16173000000000001</v>
      </c>
      <c r="J21" s="7"/>
      <c r="K21" s="5">
        <f>H22+H23</f>
        <v>1</v>
      </c>
      <c r="L21" s="9" t="s">
        <v>35</v>
      </c>
    </row>
    <row r="22" spans="1:14" x14ac:dyDescent="0.2">
      <c r="A22" s="6" t="s">
        <v>100</v>
      </c>
      <c r="B22" s="4"/>
      <c r="C22" s="10" t="s">
        <v>120</v>
      </c>
      <c r="D22" s="4"/>
      <c r="E22" s="4"/>
      <c r="F22" s="4"/>
      <c r="G22" s="4"/>
      <c r="H22" s="4">
        <v>0.6</v>
      </c>
      <c r="I22" s="4">
        <f>ROUND(D2*E3*F13*G21*H22,3)</f>
        <v>9.7000000000000003E-2</v>
      </c>
      <c r="J22" s="7"/>
      <c r="L22" s="9" t="s">
        <v>36</v>
      </c>
    </row>
    <row r="23" spans="1:14" ht="28.5" x14ac:dyDescent="0.2">
      <c r="A23" s="6" t="s">
        <v>101</v>
      </c>
      <c r="B23" s="4"/>
      <c r="C23" s="10" t="s">
        <v>121</v>
      </c>
      <c r="D23" s="4"/>
      <c r="E23" s="4"/>
      <c r="F23" s="4"/>
      <c r="G23" s="4"/>
      <c r="H23" s="4">
        <v>0.4</v>
      </c>
      <c r="I23" s="4">
        <f>ROUND(D2*E3*F13*G21*H23,3)</f>
        <v>6.5000000000000002E-2</v>
      </c>
      <c r="J23" s="7"/>
      <c r="L23" s="9" t="s">
        <v>36</v>
      </c>
    </row>
    <row r="24" spans="1:14" s="9" customFormat="1" x14ac:dyDescent="0.2">
      <c r="A24" s="8" t="s">
        <v>13</v>
      </c>
      <c r="B24" s="4"/>
      <c r="C24" s="4" t="s">
        <v>71</v>
      </c>
      <c r="D24" s="4"/>
      <c r="E24" s="4">
        <f>21/75</f>
        <v>0.28000000000000003</v>
      </c>
      <c r="F24" s="4"/>
      <c r="G24" s="4"/>
      <c r="H24" s="4"/>
      <c r="I24" s="4">
        <f>E24*D2</f>
        <v>0.21000000000000002</v>
      </c>
      <c r="J24" s="4"/>
      <c r="L24" s="9" t="s">
        <v>36</v>
      </c>
    </row>
    <row r="25" spans="1:14" s="9" customFormat="1" x14ac:dyDescent="0.2">
      <c r="A25" s="8" t="s">
        <v>44</v>
      </c>
      <c r="B25" s="4" t="s">
        <v>10</v>
      </c>
      <c r="C25" s="4"/>
      <c r="D25" s="4">
        <v>0.25</v>
      </c>
      <c r="E25" s="4"/>
      <c r="F25" s="4"/>
      <c r="G25" s="4"/>
      <c r="H25" s="4"/>
      <c r="I25" s="4">
        <f>D25</f>
        <v>0.25</v>
      </c>
      <c r="J25" s="4"/>
      <c r="L25" s="9" t="s">
        <v>36</v>
      </c>
    </row>
    <row r="26" spans="1:14" s="9" customFormat="1" x14ac:dyDescent="0.2">
      <c r="A26" s="8"/>
      <c r="B26" s="4"/>
      <c r="C26" s="4"/>
      <c r="D26" s="4"/>
      <c r="E26" s="4"/>
      <c r="F26" s="4"/>
      <c r="G26" s="4"/>
      <c r="H26" s="4"/>
      <c r="I26" s="4"/>
      <c r="J26" s="4"/>
    </row>
    <row r="27" spans="1:14" x14ac:dyDescent="0.2">
      <c r="D27" s="5">
        <f>SUM(D2:D26)</f>
        <v>1</v>
      </c>
      <c r="E27" s="5">
        <f>SUM(E2:E26)</f>
        <v>1</v>
      </c>
      <c r="F27" s="5">
        <f>SUM(F2:F26)</f>
        <v>1</v>
      </c>
      <c r="G27" s="5"/>
      <c r="H27" s="5"/>
      <c r="I27" s="59">
        <f>SUMIF($L$2:$L$26,S2,$I$2:$I$26)</f>
        <v>1</v>
      </c>
      <c r="N27" s="9"/>
    </row>
    <row r="28" spans="1:14" x14ac:dyDescent="0.2">
      <c r="N28" s="58"/>
    </row>
    <row r="29" spans="1:14" x14ac:dyDescent="0.2">
      <c r="B29" s="9"/>
      <c r="C29" s="9"/>
      <c r="I29" s="9"/>
    </row>
    <row r="30" spans="1:14" x14ac:dyDescent="0.2">
      <c r="B30" s="9"/>
      <c r="C30" s="9"/>
      <c r="I30" s="9"/>
    </row>
    <row r="31" spans="1:14" x14ac:dyDescent="0.2">
      <c r="B31" s="9"/>
      <c r="C31" s="9"/>
    </row>
    <row r="32" spans="1:14" x14ac:dyDescent="0.2">
      <c r="B32" s="9"/>
      <c r="C32" s="9"/>
    </row>
    <row r="33" spans="2:3" x14ac:dyDescent="0.2">
      <c r="B33" s="9"/>
      <c r="C33" s="9"/>
    </row>
    <row r="34" spans="2:3" x14ac:dyDescent="0.2">
      <c r="B34" s="9"/>
      <c r="C34" s="9"/>
    </row>
  </sheetData>
  <sheetProtection password="C653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R44"/>
  <sheetViews>
    <sheetView rightToLeft="1" tabSelected="1" zoomScaleNormal="100" workbookViewId="0">
      <pane ySplit="2" topLeftCell="A3" activePane="bottomLeft" state="frozen"/>
      <selection activeCell="E53" sqref="E53"/>
      <selection pane="bottomLeft" activeCell="G9" sqref="G9"/>
    </sheetView>
  </sheetViews>
  <sheetFormatPr defaultRowHeight="14.25" x14ac:dyDescent="0.2"/>
  <cols>
    <col min="1" max="1" width="7" customWidth="1"/>
    <col min="2" max="2" width="9" customWidth="1"/>
    <col min="3" max="3" width="10.5" hidden="1" customWidth="1"/>
    <col min="4" max="4" width="10.5" customWidth="1"/>
    <col min="5" max="5" width="35.875" customWidth="1"/>
    <col min="6" max="6" width="10.75" customWidth="1"/>
    <col min="7" max="7" width="10.25" bestFit="1" customWidth="1"/>
    <col min="8" max="8" width="12.25" style="13" customWidth="1"/>
    <col min="9" max="9" width="9.75" customWidth="1"/>
    <col min="10" max="10" width="10" customWidth="1"/>
    <col min="11" max="12" width="10.375" customWidth="1"/>
    <col min="13" max="13" width="3.75" customWidth="1"/>
  </cols>
  <sheetData>
    <row r="1" spans="1:18" x14ac:dyDescent="0.2">
      <c r="R1" s="9" t="s">
        <v>35</v>
      </c>
    </row>
    <row r="2" spans="1:18" ht="63.75" customHeight="1" x14ac:dyDescent="0.2">
      <c r="A2" s="47" t="s">
        <v>77</v>
      </c>
      <c r="B2" s="47" t="s">
        <v>2</v>
      </c>
      <c r="C2" s="47" t="s">
        <v>1</v>
      </c>
      <c r="D2" s="47" t="s">
        <v>1</v>
      </c>
      <c r="E2" s="47" t="s">
        <v>3</v>
      </c>
      <c r="F2" s="47"/>
      <c r="G2" s="47" t="s">
        <v>37</v>
      </c>
      <c r="H2" s="47" t="s">
        <v>38</v>
      </c>
      <c r="I2" s="47" t="s">
        <v>41</v>
      </c>
      <c r="J2" s="47" t="s">
        <v>39</v>
      </c>
      <c r="K2" s="47" t="s">
        <v>46</v>
      </c>
      <c r="L2" s="47" t="s">
        <v>67</v>
      </c>
      <c r="M2" s="47"/>
      <c r="N2" s="47" t="s">
        <v>42</v>
      </c>
      <c r="R2" s="9" t="s">
        <v>36</v>
      </c>
    </row>
    <row r="3" spans="1:18" x14ac:dyDescent="0.2">
      <c r="A3" s="1" t="str">
        <f>VLOOKUP(B3,'ניקוד יועצים'!A:L,12,0)</f>
        <v>מרכז</v>
      </c>
      <c r="B3" s="8" t="s">
        <v>9</v>
      </c>
      <c r="C3" s="1" t="str">
        <f>VLOOKUP(B3,'ניקוד יועצים'!A:B,2,0)</f>
        <v>איכות ההצעה</v>
      </c>
      <c r="D3" s="1" t="str">
        <f>IF(C3=0,"",C3)</f>
        <v>איכות ההצעה</v>
      </c>
      <c r="E3" s="1">
        <f>VLOOKUP(B3,'ניקוד יועצים'!A:C,3,0)</f>
        <v>0</v>
      </c>
      <c r="F3" s="1" t="str">
        <f>IF(A3=$A$3,"סיכום","יש להזין נתון")</f>
        <v>סיכום</v>
      </c>
      <c r="G3" s="1"/>
      <c r="H3" s="14"/>
      <c r="I3" s="15">
        <f>VLOOKUP(B3,'ניקוד יועצים'!A:I,9,0)</f>
        <v>0.75</v>
      </c>
      <c r="J3" s="1"/>
      <c r="K3" s="15">
        <f>SUM(J21:J24)</f>
        <v>0</v>
      </c>
      <c r="L3" s="15"/>
      <c r="M3" s="1"/>
    </row>
    <row r="4" spans="1:18" x14ac:dyDescent="0.2">
      <c r="A4" s="1" t="str">
        <f>VLOOKUP(B4,'ניקוד יועצים'!A:L,12,0)</f>
        <v>מרכז</v>
      </c>
      <c r="B4" s="8" t="s">
        <v>11</v>
      </c>
      <c r="C4" s="1">
        <f>VLOOKUP(B4,'ניקוד יועצים'!A:B,2,0)</f>
        <v>0</v>
      </c>
      <c r="D4" s="1" t="str">
        <f>IF(C4=0,"",C4)</f>
        <v/>
      </c>
      <c r="E4" s="1" t="str">
        <f>VLOOKUP(B4,'ניקוד יועצים'!A:C,3,0)</f>
        <v>הצגת מסמכים</v>
      </c>
      <c r="F4" s="1" t="str">
        <f>IF(A4=$A$3,"סיכום","יש להזין נתון")</f>
        <v>סיכום</v>
      </c>
      <c r="G4" s="1"/>
      <c r="H4" s="14"/>
      <c r="I4" s="15">
        <f>VLOOKUP(B4,'ניקוד יועצים'!A:I,9,0)</f>
        <v>0.54</v>
      </c>
      <c r="J4" s="1"/>
      <c r="K4" s="15">
        <f>SUM(J4:J13)</f>
        <v>0</v>
      </c>
      <c r="L4" s="15"/>
      <c r="M4" s="1"/>
    </row>
    <row r="5" spans="1:18" x14ac:dyDescent="0.2">
      <c r="A5" s="1" t="str">
        <f>VLOOKUP(B5,'ניקוד יועצים'!A:L,12,0)</f>
        <v>מרכז</v>
      </c>
      <c r="B5" s="8" t="s">
        <v>14</v>
      </c>
      <c r="C5" s="1">
        <f>VLOOKUP(B5,'ניקוד יועצים'!A:B,2,0)</f>
        <v>0</v>
      </c>
      <c r="D5" s="1"/>
      <c r="E5" s="1" t="str">
        <f>VLOOKUP(B5,'ניקוד יועצים'!A:C,3,0)</f>
        <v>נתונים כלליים</v>
      </c>
      <c r="F5" s="1" t="str">
        <f>IF(A5=$A$3,"סיכום","יש להזין נתון")</f>
        <v>סיכום</v>
      </c>
      <c r="G5" s="1"/>
      <c r="H5" s="14"/>
      <c r="I5" s="15">
        <f>VLOOKUP(B5,'ניקוד יועצים'!A:I,9,0)</f>
        <v>0.21654000000000001</v>
      </c>
      <c r="J5" s="1"/>
      <c r="K5" s="2">
        <f>SUM(J6:J13)</f>
        <v>0</v>
      </c>
      <c r="L5" s="2"/>
      <c r="M5" s="1"/>
    </row>
    <row r="6" spans="1:18" x14ac:dyDescent="0.2">
      <c r="A6" s="1" t="str">
        <f>VLOOKUP(B6,'ניקוד יועצים'!A:L,12,0)</f>
        <v>רושם</v>
      </c>
      <c r="B6" s="8" t="s">
        <v>16</v>
      </c>
      <c r="C6" s="1">
        <f>VLOOKUP(B6,'ניקוד יועצים'!A:B,2,0)</f>
        <v>0</v>
      </c>
      <c r="D6" s="1" t="str">
        <f>IF(C6=0,"",C6)</f>
        <v/>
      </c>
      <c r="E6" s="1" t="str">
        <f>VLOOKUP(B6,'ניקוד יועצים'!A:C,3,0)</f>
        <v>מספר עובדים במשרד</v>
      </c>
      <c r="F6" s="1"/>
      <c r="G6" s="31">
        <f>'פילוח עובדים'!$K$28</f>
        <v>0</v>
      </c>
      <c r="H6" s="14">
        <f>IF(G6&gt;100,1,G6/100)</f>
        <v>0</v>
      </c>
      <c r="I6" s="15">
        <f>VLOOKUP(B6,'ניקוד יועצים'!A:I,9,0)</f>
        <v>3.3000000000000002E-2</v>
      </c>
      <c r="J6" s="2">
        <f t="shared" ref="J6:J13" si="0">H6*I6</f>
        <v>0</v>
      </c>
      <c r="K6" s="1"/>
      <c r="L6" s="32"/>
      <c r="M6" s="1"/>
    </row>
    <row r="7" spans="1:18" x14ac:dyDescent="0.2">
      <c r="A7" s="1" t="str">
        <f>VLOOKUP(B7,'ניקוד יועצים'!A:L,12,0)</f>
        <v>רושם</v>
      </c>
      <c r="B7" s="8" t="s">
        <v>18</v>
      </c>
      <c r="C7" s="1">
        <f>VLOOKUP(B7,'ניקוד יועצים'!A:B,2,0)</f>
        <v>0</v>
      </c>
      <c r="D7" s="1" t="str">
        <f>IF(C7=0,"",C7)</f>
        <v/>
      </c>
      <c r="E7" s="32" t="str">
        <f>VLOOKUP(B7,'ניקוד יועצים'!A:C,3,0)</f>
        <v>חברות בפירמה בינלאומית</v>
      </c>
      <c r="F7" s="1" t="str">
        <f>IF(A7=$A$3,"סיכום","יש להזין נתון")</f>
        <v>יש להזין נתון</v>
      </c>
      <c r="G7" s="33"/>
      <c r="H7" s="14">
        <f>G7</f>
        <v>0</v>
      </c>
      <c r="I7" s="15">
        <f>VLOOKUP(B7,'ניקוד יועצים'!A:I,9,0)</f>
        <v>2.5999999999999999E-2</v>
      </c>
      <c r="J7" s="2">
        <f t="shared" si="0"/>
        <v>0</v>
      </c>
      <c r="K7" s="1"/>
      <c r="L7" s="33"/>
      <c r="M7" s="1"/>
      <c r="N7" t="s">
        <v>43</v>
      </c>
    </row>
    <row r="8" spans="1:18" x14ac:dyDescent="0.2">
      <c r="A8" s="1" t="str">
        <f>VLOOKUP(B8,'ניקוד יועצים'!A:L,12,0)</f>
        <v>רושם</v>
      </c>
      <c r="B8" s="8" t="s">
        <v>19</v>
      </c>
      <c r="C8" s="1">
        <f>VLOOKUP(B8,'ניקוד יועצים'!A:B,2,0)</f>
        <v>0</v>
      </c>
      <c r="D8" s="1" t="str">
        <f>IF(C8=0,"",C8)</f>
        <v/>
      </c>
      <c r="E8" s="32" t="str">
        <f>VLOOKUP(B8,'ניקוד יועצים'!A:C,3,0)</f>
        <v>מספר לקוחות ביקורת נסחרים בארץ</v>
      </c>
      <c r="F8" s="1" t="str">
        <f>IF(A8=$A$3,"סיכום","יש להזין נתון")</f>
        <v>יש להזין נתון</v>
      </c>
      <c r="G8" s="33"/>
      <c r="H8" s="14">
        <f>IF(G8&gt;20,1,G8/20)</f>
        <v>0</v>
      </c>
      <c r="I8" s="15">
        <f>VLOOKUP(B8,'ניקוד יועצים'!A:I,9,0)</f>
        <v>2.5999999999999999E-2</v>
      </c>
      <c r="J8" s="2">
        <f t="shared" si="0"/>
        <v>0</v>
      </c>
      <c r="K8" s="1"/>
      <c r="L8" s="33"/>
      <c r="M8" s="1"/>
      <c r="N8" t="s">
        <v>105</v>
      </c>
    </row>
    <row r="9" spans="1:18" x14ac:dyDescent="0.2">
      <c r="A9" s="1" t="s">
        <v>36</v>
      </c>
      <c r="B9" s="8" t="s">
        <v>20</v>
      </c>
      <c r="C9" s="1"/>
      <c r="D9" s="1"/>
      <c r="E9" s="32" t="str">
        <f>VLOOKUP(B9,'ניקוד יועצים'!A:C,3,0)</f>
        <v>מספר לקוחות ביקורת הנכללים במדד ת"א 125</v>
      </c>
      <c r="F9" s="1" t="s">
        <v>59</v>
      </c>
      <c r="G9" s="33"/>
      <c r="H9" s="14">
        <f>IF(G9&gt;5,1,G9/5)</f>
        <v>0</v>
      </c>
      <c r="I9" s="15">
        <f>VLOOKUP(B9,'ניקוד יועצים'!A:I,9,0)</f>
        <v>1.7000000000000001E-2</v>
      </c>
      <c r="J9" s="2">
        <f t="shared" si="0"/>
        <v>0</v>
      </c>
      <c r="K9" s="1"/>
      <c r="L9" s="33"/>
      <c r="M9" s="1"/>
      <c r="N9" t="s">
        <v>106</v>
      </c>
    </row>
    <row r="10" spans="1:18" x14ac:dyDescent="0.2">
      <c r="A10" s="1" t="str">
        <f>VLOOKUP(B10,'ניקוד יועצים'!A:L,12,0)</f>
        <v>רושם</v>
      </c>
      <c r="B10" s="8" t="s">
        <v>21</v>
      </c>
      <c r="C10" s="1">
        <f>VLOOKUP(B10,'ניקוד יועצים'!A:B,2,0)</f>
        <v>0</v>
      </c>
      <c r="D10" s="1" t="str">
        <f>IF(C10=0,"",C10)</f>
        <v/>
      </c>
      <c r="E10" s="32" t="str">
        <f>VLOOKUP(B10,'ניקוד יועצים'!A:C,3,0)</f>
        <v>מספר לקוחות ביקורת נסחרים בחו"ל</v>
      </c>
      <c r="F10" s="1" t="str">
        <f>IF(A10=$A$3,"סיכום","יש להזין נתון")</f>
        <v>יש להזין נתון</v>
      </c>
      <c r="G10" s="33"/>
      <c r="H10" s="14">
        <f>IF(G10&gt;15,1,G10/15)</f>
        <v>0</v>
      </c>
      <c r="I10" s="15">
        <f>VLOOKUP(B10,'ניקוד יועצים'!A:I,9,0)</f>
        <v>1.7000000000000001E-2</v>
      </c>
      <c r="J10" s="2">
        <f t="shared" si="0"/>
        <v>0</v>
      </c>
      <c r="K10" s="1"/>
      <c r="L10" s="33"/>
      <c r="M10" s="1"/>
      <c r="N10" t="s">
        <v>107</v>
      </c>
    </row>
    <row r="11" spans="1:18" x14ac:dyDescent="0.2">
      <c r="A11" s="1" t="str">
        <f>VLOOKUP(B11,'ניקוד יועצים'!A:L,12,0)</f>
        <v>רושם</v>
      </c>
      <c r="B11" s="8" t="s">
        <v>25</v>
      </c>
      <c r="C11" s="1">
        <f>VLOOKUP(B11,'ניקוד יועצים'!A:B,2,0)</f>
        <v>0</v>
      </c>
      <c r="D11" s="1" t="str">
        <f>IF(C11=0,"",C11)</f>
        <v/>
      </c>
      <c r="E11" s="32" t="str">
        <f>VLOOKUP(B11,'ניקוד יועצים'!A:C,3,0)</f>
        <v xml:space="preserve">מספר לקוחות להם מחזור של מעל 500 מיליון ₪ </v>
      </c>
      <c r="F11" s="1" t="str">
        <f>IF(A11=$A$3,"סיכום","יש להזין נתון")</f>
        <v>יש להזין נתון</v>
      </c>
      <c r="G11" s="33"/>
      <c r="H11" s="14">
        <f>IF(G11&gt;5,1,G11/5)</f>
        <v>0</v>
      </c>
      <c r="I11" s="15">
        <f>VLOOKUP(B11,'ניקוד יועצים'!A:I,9,0)</f>
        <v>5.3999999999999999E-2</v>
      </c>
      <c r="J11" s="2">
        <f t="shared" si="0"/>
        <v>0</v>
      </c>
      <c r="K11" s="1"/>
      <c r="L11" s="33"/>
      <c r="M11" s="1"/>
      <c r="N11" t="s">
        <v>108</v>
      </c>
    </row>
    <row r="12" spans="1:18" x14ac:dyDescent="0.2">
      <c r="A12" s="1" t="str">
        <f>VLOOKUP(B12,'ניקוד יועצים'!A:L,12,0)</f>
        <v>רושם</v>
      </c>
      <c r="B12" s="8" t="s">
        <v>60</v>
      </c>
      <c r="C12" s="1">
        <f>VLOOKUP(B12,'ניקוד יועצים'!A:B,2,0)</f>
        <v>0</v>
      </c>
      <c r="D12" s="1" t="str">
        <f>IF(C12=0,"",C12)</f>
        <v/>
      </c>
      <c r="E12" s="32" t="str">
        <f>VLOOKUP(B12,'ניקוד יועצים'!A:C,3,0)</f>
        <v>מספר תשקיפים שהוגשו בשנים 2015-2016</v>
      </c>
      <c r="F12" s="1" t="str">
        <f>IF(A12=$A$3,"סיכום","יש להזין נתון")</f>
        <v>יש להזין נתון</v>
      </c>
      <c r="G12" s="33"/>
      <c r="H12" s="14">
        <f>IF(G12&gt;10,1,G12/10)</f>
        <v>0</v>
      </c>
      <c r="I12" s="15">
        <f>VLOOKUP(B12,'ניקוד יועצים'!A:I,9,0)</f>
        <v>2.1999999999999999E-2</v>
      </c>
      <c r="J12" s="2">
        <f t="shared" si="0"/>
        <v>0</v>
      </c>
      <c r="K12" s="1"/>
      <c r="L12" s="33"/>
      <c r="M12" s="1"/>
      <c r="N12" t="s">
        <v>45</v>
      </c>
    </row>
    <row r="13" spans="1:18" x14ac:dyDescent="0.2">
      <c r="A13" s="1" t="str">
        <f>VLOOKUP(B13,'ניקוד יועצים'!A:L,12,0)</f>
        <v>רושם</v>
      </c>
      <c r="B13" s="8" t="s">
        <v>61</v>
      </c>
      <c r="C13" s="1"/>
      <c r="D13" s="1"/>
      <c r="E13" s="32" t="str">
        <f>VLOOKUP(B13,'ניקוד יועצים'!A:C,3,0)</f>
        <v>מספר הערכות שווי שבוצעו בשנים 2015-2016</v>
      </c>
      <c r="F13" s="1" t="str">
        <f>IF(A13=$A$3,"סיכום","יש להזין נתון")</f>
        <v>יש להזין נתון</v>
      </c>
      <c r="G13" s="33"/>
      <c r="H13" s="14">
        <f>IF(G13&gt;10,1,G13/10)</f>
        <v>0</v>
      </c>
      <c r="I13" s="15">
        <f>VLOOKUP(B13,'ניקוד יועצים'!A:I,9,0)</f>
        <v>2.1999999999999999E-2</v>
      </c>
      <c r="J13" s="2">
        <f t="shared" si="0"/>
        <v>0</v>
      </c>
      <c r="K13" s="1"/>
      <c r="L13" s="33"/>
      <c r="M13" s="1"/>
      <c r="N13" t="s">
        <v>45</v>
      </c>
    </row>
    <row r="15" spans="1:18" x14ac:dyDescent="0.2">
      <c r="J15" t="s">
        <v>68</v>
      </c>
      <c r="K15" s="46">
        <f>SUM(K5:K13)</f>
        <v>0</v>
      </c>
    </row>
    <row r="16" spans="1:18" hidden="1" x14ac:dyDescent="0.2"/>
    <row r="19" spans="1:13" ht="15" x14ac:dyDescent="0.25">
      <c r="C19" s="1">
        <f>VLOOKUP(B24,'ניקוד יועצים'!A:B,2,0)</f>
        <v>0</v>
      </c>
      <c r="E19" s="9"/>
      <c r="H19" s="49" t="s">
        <v>80</v>
      </c>
    </row>
    <row r="20" spans="1:13" x14ac:dyDescent="0.2">
      <c r="C20" s="1" t="str">
        <f>VLOOKUP(B25,'ניקוד יועצים'!A:B,2,0)</f>
        <v>הצעת מחיר</v>
      </c>
    </row>
    <row r="21" spans="1:13" x14ac:dyDescent="0.2">
      <c r="C21" s="1"/>
      <c r="H21" s="48" t="s">
        <v>78</v>
      </c>
      <c r="J21" s="16">
        <f>SUMIF($A$3:$A$13,$R$2,$J$3:$J$13)</f>
        <v>0</v>
      </c>
    </row>
    <row r="22" spans="1:13" x14ac:dyDescent="0.2">
      <c r="H22" t="s">
        <v>79</v>
      </c>
      <c r="J22" s="16">
        <f>ביקורת!K16</f>
        <v>0</v>
      </c>
      <c r="K22" s="43"/>
      <c r="L22" s="43"/>
      <c r="M22" s="43"/>
    </row>
    <row r="23" spans="1:13" x14ac:dyDescent="0.2">
      <c r="K23" s="43"/>
      <c r="L23" s="43"/>
      <c r="M23" s="43"/>
    </row>
    <row r="24" spans="1:13" x14ac:dyDescent="0.2">
      <c r="A24" s="1" t="str">
        <f>VLOOKUP(B24,'ניקוד יועצים'!A:L,12,0)</f>
        <v>רושם</v>
      </c>
      <c r="B24" s="1" t="s">
        <v>13</v>
      </c>
      <c r="D24" s="32" t="str">
        <f>IF(C19=0,"",C19)</f>
        <v/>
      </c>
      <c r="E24" s="32" t="str">
        <f>VLOOKUP(B24,'ניקוד יועצים'!A:C,3,0)</f>
        <v>ריאיון+ממליצים</v>
      </c>
      <c r="F24" s="1" t="s">
        <v>63</v>
      </c>
      <c r="G24" s="1"/>
      <c r="H24" s="14">
        <v>0</v>
      </c>
      <c r="I24" s="50">
        <f>VLOOKUP(B24,'ניקוד יועצים'!A:I,9,0)</f>
        <v>0.21000000000000002</v>
      </c>
      <c r="J24" s="2">
        <f>H24*I24</f>
        <v>0</v>
      </c>
      <c r="K24" s="43" t="s">
        <v>81</v>
      </c>
      <c r="L24" s="43"/>
      <c r="M24" s="43"/>
    </row>
    <row r="25" spans="1:13" x14ac:dyDescent="0.2">
      <c r="A25" s="1" t="str">
        <f>VLOOKUP(B25,'ניקוד יועצים'!A:L,12,0)</f>
        <v>רושם</v>
      </c>
      <c r="B25" s="8" t="s">
        <v>44</v>
      </c>
      <c r="D25" s="32" t="str">
        <f>IF(C20=0,"",C20)</f>
        <v>הצעת מחיר</v>
      </c>
      <c r="E25" s="32"/>
      <c r="F25" s="1" t="s">
        <v>63</v>
      </c>
      <c r="G25" s="1"/>
      <c r="H25" s="14">
        <v>0</v>
      </c>
      <c r="I25" s="50">
        <f>VLOOKUP(B25,'ניקוד יועצים'!A:I,9,0)</f>
        <v>0.25</v>
      </c>
      <c r="J25" s="2">
        <f>H25*I25</f>
        <v>0</v>
      </c>
      <c r="K25" s="43" t="s">
        <v>81</v>
      </c>
      <c r="L25" s="43"/>
      <c r="M25" s="43"/>
    </row>
    <row r="26" spans="1:13" x14ac:dyDescent="0.2">
      <c r="A26" s="43"/>
      <c r="B26" s="43"/>
      <c r="D26" s="43"/>
      <c r="E26" s="43"/>
      <c r="F26" s="43"/>
      <c r="G26" s="43"/>
      <c r="H26" s="44"/>
      <c r="I26" s="43"/>
      <c r="J26" s="43"/>
      <c r="K26" s="43"/>
      <c r="L26" s="43"/>
      <c r="M26" s="43"/>
    </row>
    <row r="27" spans="1:13" x14ac:dyDescent="0.2">
      <c r="K27" s="43"/>
      <c r="L27" s="43"/>
      <c r="M27" s="43"/>
    </row>
    <row r="28" spans="1:13" x14ac:dyDescent="0.2">
      <c r="H28" s="13" t="s">
        <v>69</v>
      </c>
      <c r="I28" s="45"/>
      <c r="J28" s="45">
        <f>SUM(J21:J25)</f>
        <v>0</v>
      </c>
    </row>
    <row r="44" hidden="1" x14ac:dyDescent="0.2"/>
  </sheetData>
  <sheetProtection password="C653" sheet="1" objects="1" scenarios="1"/>
  <protectedRanges>
    <protectedRange sqref="G7:G13" name="טווח1"/>
    <protectedRange sqref="L7:L13" name="טווח2"/>
  </protectedRanges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3:N16"/>
  <sheetViews>
    <sheetView rightToLeft="1" workbookViewId="0">
      <selection activeCell="E32" sqref="E32"/>
    </sheetView>
  </sheetViews>
  <sheetFormatPr defaultRowHeight="14.25" x14ac:dyDescent="0.2"/>
  <cols>
    <col min="3" max="3" width="9" hidden="1" customWidth="1"/>
    <col min="4" max="4" width="6" customWidth="1"/>
    <col min="5" max="5" width="46.5" bestFit="1" customWidth="1"/>
    <col min="6" max="6" width="9.625" bestFit="1" customWidth="1"/>
    <col min="8" max="8" width="7.125" customWidth="1"/>
    <col min="9" max="9" width="9.625" customWidth="1"/>
  </cols>
  <sheetData>
    <row r="3" spans="1:14" ht="80.25" customHeight="1" x14ac:dyDescent="0.2">
      <c r="A3" s="47" t="s">
        <v>77</v>
      </c>
      <c r="B3" s="47" t="s">
        <v>2</v>
      </c>
      <c r="C3" s="47" t="s">
        <v>1</v>
      </c>
      <c r="D3" s="47" t="s">
        <v>1</v>
      </c>
      <c r="E3" s="47" t="s">
        <v>3</v>
      </c>
      <c r="F3" s="47"/>
      <c r="G3" s="47" t="s">
        <v>37</v>
      </c>
      <c r="H3" s="47" t="s">
        <v>38</v>
      </c>
      <c r="I3" s="47" t="s">
        <v>41</v>
      </c>
      <c r="J3" s="47" t="s">
        <v>39</v>
      </c>
      <c r="K3" s="47" t="s">
        <v>46</v>
      </c>
      <c r="L3" s="47" t="s">
        <v>67</v>
      </c>
      <c r="M3" s="47"/>
      <c r="N3" s="47" t="s">
        <v>42</v>
      </c>
    </row>
    <row r="4" spans="1:14" x14ac:dyDescent="0.2">
      <c r="A4" s="1" t="str">
        <f>VLOOKUP(B4,'ניקוד יועצים'!A:L,12,0)</f>
        <v>מרכז</v>
      </c>
      <c r="B4" s="6" t="s">
        <v>91</v>
      </c>
      <c r="C4" s="1">
        <f>VLOOKUP(B4,'ניקוד יועצים'!A:B,2,0)</f>
        <v>0</v>
      </c>
      <c r="D4" s="1" t="str">
        <f t="shared" ref="D4:D14" si="0">IF(C4=0,"",C4)</f>
        <v/>
      </c>
      <c r="E4" s="32" t="str">
        <f>VLOOKUP(B4,'ניקוד יועצים'!A:C,3,0)</f>
        <v>שירותי ביקורת</v>
      </c>
      <c r="F4" s="1" t="str">
        <f>IF(A4='נתונים כלליים'!$A$3,"סיכום","יש להזין נתון")</f>
        <v>סיכום</v>
      </c>
      <c r="G4" s="1"/>
      <c r="H4" s="14"/>
      <c r="I4" s="15">
        <f>VLOOKUP(B4,'ניקוד יועצים'!A:I,9,0)</f>
        <v>0.32346000000000003</v>
      </c>
      <c r="J4" s="2"/>
      <c r="K4" s="2">
        <f>SUM(J4:J14)</f>
        <v>0</v>
      </c>
      <c r="L4" s="1"/>
      <c r="M4" s="1"/>
    </row>
    <row r="5" spans="1:14" x14ac:dyDescent="0.2">
      <c r="A5" s="1" t="str">
        <f>VLOOKUP(B5,'ניקוד יועצים'!A:L,12,0)</f>
        <v>מרכז</v>
      </c>
      <c r="B5" s="6" t="s">
        <v>92</v>
      </c>
      <c r="C5" s="1">
        <f>VLOOKUP(B5,'ניקוד יועצים'!A:B,2,0)</f>
        <v>0</v>
      </c>
      <c r="D5" s="1" t="str">
        <f t="shared" si="0"/>
        <v/>
      </c>
      <c r="E5" s="32" t="str">
        <f>VLOOKUP(B5,'ניקוד יועצים'!A:C,3,0)</f>
        <v>מחלקת הביקורת</v>
      </c>
      <c r="F5" s="1" t="str">
        <f>IF(A5='נתונים כלליים'!$A$3,"סיכום","יש להזין נתון")</f>
        <v>סיכום</v>
      </c>
      <c r="G5" s="1"/>
      <c r="H5" s="14"/>
      <c r="I5" s="15">
        <f>VLOOKUP(B5,'ניקוד יועצים'!A:I,9,0)</f>
        <v>3.2346000000000007E-2</v>
      </c>
      <c r="J5" s="2"/>
      <c r="K5" s="2">
        <f>SUM(J5:J7)</f>
        <v>0</v>
      </c>
      <c r="L5" s="1"/>
      <c r="M5" s="1"/>
    </row>
    <row r="6" spans="1:14" hidden="1" x14ac:dyDescent="0.2">
      <c r="A6" s="1" t="str">
        <f>VLOOKUP(B6,'ניקוד יועצים'!A:L,12,0)</f>
        <v>רושם</v>
      </c>
      <c r="B6" s="6" t="s">
        <v>93</v>
      </c>
      <c r="C6" s="1">
        <f>VLOOKUP(B6,'ניקוד יועצים'!A:B,2,0)</f>
        <v>0</v>
      </c>
      <c r="D6" s="1" t="str">
        <f t="shared" si="0"/>
        <v/>
      </c>
      <c r="E6" s="32" t="str">
        <f>VLOOKUP(B6,'ניקוד יועצים'!A:C,3,0)</f>
        <v>מספר עובדים</v>
      </c>
      <c r="F6" s="1" t="str">
        <f>IF(A6='נתונים כלליים'!$A$3,"סיכום","יש להזין נתון")</f>
        <v>יש להזין נתון</v>
      </c>
      <c r="G6" s="33"/>
      <c r="H6" s="14">
        <f>IF(G6&gt;200,1,G6/200)</f>
        <v>0</v>
      </c>
      <c r="I6" s="15">
        <f>VLOOKUP(B6,'ניקוד יועצים'!A:I,9,0)</f>
        <v>0</v>
      </c>
      <c r="J6" s="2">
        <f>H6*I6</f>
        <v>0</v>
      </c>
      <c r="K6" s="1"/>
      <c r="L6" s="1" t="s">
        <v>70</v>
      </c>
      <c r="M6" s="1"/>
      <c r="N6" t="s">
        <v>47</v>
      </c>
    </row>
    <row r="7" spans="1:14" x14ac:dyDescent="0.2">
      <c r="A7" s="1" t="str">
        <f>VLOOKUP(B7,'ניקוד יועצים'!A:L,12,0)</f>
        <v>רושם</v>
      </c>
      <c r="B7" s="6" t="s">
        <v>94</v>
      </c>
      <c r="C7" s="1">
        <f>VLOOKUP(B7,'ניקוד יועצים'!A:B,2,0)</f>
        <v>0</v>
      </c>
      <c r="D7" s="1" t="str">
        <f t="shared" si="0"/>
        <v/>
      </c>
      <c r="E7" s="32" t="str">
        <f>VLOOKUP(B7,'ניקוד יועצים'!A:C,3,0)</f>
        <v>מספר השותפים המנהלים צוותים של מעל 10 עובדים</v>
      </c>
      <c r="F7" s="1" t="str">
        <f>IF(A7='נתונים כלליים'!$A$3,"סיכום","יש להזין נתון")</f>
        <v>יש להזין נתון</v>
      </c>
      <c r="G7" s="33"/>
      <c r="H7" s="14">
        <f>IF(G7&gt;10,1,G7/10)</f>
        <v>0</v>
      </c>
      <c r="I7" s="15">
        <f>VLOOKUP(B7,'ניקוד יועצים'!A:I,9,0)</f>
        <v>3.2000000000000001E-2</v>
      </c>
      <c r="J7" s="2">
        <f>H7*I7</f>
        <v>0</v>
      </c>
      <c r="K7" s="1"/>
      <c r="L7" s="33"/>
      <c r="M7" s="1"/>
      <c r="N7" t="s">
        <v>109</v>
      </c>
    </row>
    <row r="8" spans="1:14" x14ac:dyDescent="0.2">
      <c r="A8" s="1" t="str">
        <f>VLOOKUP(B8,'ניקוד יועצים'!A:L,12,0)</f>
        <v>מרכז</v>
      </c>
      <c r="B8" s="6" t="s">
        <v>95</v>
      </c>
      <c r="C8" s="1">
        <f>VLOOKUP(B8,'ניקוד יועצים'!A:B,2,0)</f>
        <v>0</v>
      </c>
      <c r="D8" s="1" t="str">
        <f t="shared" si="0"/>
        <v/>
      </c>
      <c r="E8" s="32" t="str">
        <f>VLOOKUP(B8,'ניקוד יועצים'!A:C,3,0)</f>
        <v>שותף מחלקת ביקורת</v>
      </c>
      <c r="F8" s="1" t="str">
        <f>IF(A8='נתונים כלליים'!$A$3,"סיכום","יש להזין נתון")</f>
        <v>סיכום</v>
      </c>
      <c r="G8" s="1"/>
      <c r="H8" s="14"/>
      <c r="I8" s="15">
        <f>VLOOKUP(B8,'ניקוד יועצים'!A:I,9,0)</f>
        <v>0.12938400000000003</v>
      </c>
      <c r="J8" s="2"/>
      <c r="K8" s="2">
        <f>SUM(J8:J11)</f>
        <v>0</v>
      </c>
      <c r="L8" s="32"/>
      <c r="M8" s="1"/>
    </row>
    <row r="9" spans="1:14" x14ac:dyDescent="0.2">
      <c r="A9" s="1" t="str">
        <f>VLOOKUP(B9,'ניקוד יועצים'!A:L,12,0)</f>
        <v>רושם</v>
      </c>
      <c r="B9" s="6" t="s">
        <v>96</v>
      </c>
      <c r="C9" s="1">
        <f>VLOOKUP(B9,'ניקוד יועצים'!A:B,2,0)</f>
        <v>0</v>
      </c>
      <c r="D9" s="1" t="str">
        <f t="shared" si="0"/>
        <v/>
      </c>
      <c r="E9" s="32" t="str">
        <f>VLOOKUP(B9,'ניקוד יועצים'!A:C,3,0)</f>
        <v xml:space="preserve">מספר שנות עבודה כשותף </v>
      </c>
      <c r="F9" s="1" t="str">
        <f>IF(A9='נתונים כלליים'!$A$3,"סיכום","יש להזין נתון")</f>
        <v>יש להזין נתון</v>
      </c>
      <c r="G9" s="33"/>
      <c r="H9" s="14">
        <f>IF(G9&gt;8,1,G9/8)</f>
        <v>0</v>
      </c>
      <c r="I9" s="15">
        <f>VLOOKUP(B9,'ניקוד יועצים'!A:I,9,0)</f>
        <v>5.8000000000000003E-2</v>
      </c>
      <c r="J9" s="2">
        <f>H9*I9</f>
        <v>0</v>
      </c>
      <c r="K9" s="1"/>
      <c r="L9" s="33"/>
      <c r="M9" s="1"/>
      <c r="N9" t="s">
        <v>110</v>
      </c>
    </row>
    <row r="10" spans="1:14" x14ac:dyDescent="0.2">
      <c r="A10" s="1" t="str">
        <f>VLOOKUP(B10,'ניקוד יועצים'!A:L,12,0)</f>
        <v>רושם</v>
      </c>
      <c r="B10" s="6" t="s">
        <v>97</v>
      </c>
      <c r="C10" s="1">
        <f>VLOOKUP(B10,'ניקוד יועצים'!A:B,2,0)</f>
        <v>0</v>
      </c>
      <c r="D10" s="1" t="str">
        <f t="shared" si="0"/>
        <v/>
      </c>
      <c r="E10" s="32" t="str">
        <f>VLOOKUP(B10,'ניקוד יועצים'!A:C,3,0)</f>
        <v>חברות בגופים מקצועיים</v>
      </c>
      <c r="F10" s="1" t="str">
        <f>IF(A10='נתונים כלליים'!$A$3,"סיכום","יש להזין נתון")</f>
        <v>יש להזין נתון</v>
      </c>
      <c r="G10" s="33"/>
      <c r="H10" s="14">
        <f>IF(G10&gt;2,1,G10/2)</f>
        <v>0</v>
      </c>
      <c r="I10" s="15">
        <f>VLOOKUP(B10,'ניקוד יועצים'!A:I,9,0)</f>
        <v>1.9E-2</v>
      </c>
      <c r="J10" s="2">
        <f>H10*I10</f>
        <v>0</v>
      </c>
      <c r="K10" s="1"/>
      <c r="L10" s="33"/>
      <c r="M10" s="1"/>
      <c r="N10" t="s">
        <v>111</v>
      </c>
    </row>
    <row r="11" spans="1:14" x14ac:dyDescent="0.2">
      <c r="A11" s="1" t="str">
        <f>VLOOKUP(B11,'ניקוד יועצים'!A:L,12,0)</f>
        <v>רושם</v>
      </c>
      <c r="B11" s="6" t="s">
        <v>98</v>
      </c>
      <c r="C11" s="1">
        <f>VLOOKUP(B11,'ניקוד יועצים'!A:B,2,0)</f>
        <v>0</v>
      </c>
      <c r="D11" s="1" t="str">
        <f t="shared" si="0"/>
        <v/>
      </c>
      <c r="E11" s="32" t="str">
        <f>VLOOKUP(B11,'ניקוד יועצים'!A:C,3,0)</f>
        <v>מספר לקוחות ביקורת נסחרים/חברות ממשלתיות, בארץ או בחו"ל</v>
      </c>
      <c r="F11" s="1" t="str">
        <f>IF(A11='נתונים כלליים'!$A$3,"סיכום","יש להזין נתון")</f>
        <v>יש להזין נתון</v>
      </c>
      <c r="G11" s="33"/>
      <c r="H11" s="14">
        <f>IF(G11&gt;5,1,G11/5)</f>
        <v>0</v>
      </c>
      <c r="I11" s="15">
        <f>VLOOKUP(B11,'ניקוד יועצים'!A:I,9,0)</f>
        <v>5.1999999999999998E-2</v>
      </c>
      <c r="J11" s="2">
        <f>H11*I11</f>
        <v>0</v>
      </c>
      <c r="K11" s="1"/>
      <c r="L11" s="33"/>
      <c r="M11" s="1"/>
      <c r="N11" t="s">
        <v>48</v>
      </c>
    </row>
    <row r="12" spans="1:14" x14ac:dyDescent="0.2">
      <c r="A12" s="1" t="str">
        <f>VLOOKUP(B12,'ניקוד יועצים'!A:L,12,0)</f>
        <v>מרכז</v>
      </c>
      <c r="B12" s="6" t="s">
        <v>99</v>
      </c>
      <c r="C12" s="1">
        <f>VLOOKUP(B12,'ניקוד יועצים'!A:B,2,0)</f>
        <v>0</v>
      </c>
      <c r="D12" s="1" t="str">
        <f t="shared" si="0"/>
        <v/>
      </c>
      <c r="E12" s="32" t="str">
        <f>VLOOKUP(B12,'ניקוד יועצים'!A:C,3,0)</f>
        <v>צוות הביקורת</v>
      </c>
      <c r="F12" s="1" t="str">
        <f>IF(A12='נתונים כלליים'!$A$3,"סיכום","יש להזין נתון")</f>
        <v>סיכום</v>
      </c>
      <c r="G12" s="1"/>
      <c r="H12" s="14"/>
      <c r="I12" s="15">
        <f>VLOOKUP(B12,'ניקוד יועצים'!A:I,9,0)</f>
        <v>0.16173000000000001</v>
      </c>
      <c r="J12" s="2"/>
      <c r="K12" s="2">
        <f>SUM(J12:J14)</f>
        <v>0</v>
      </c>
      <c r="L12" s="32"/>
      <c r="M12" s="1"/>
    </row>
    <row r="13" spans="1:14" x14ac:dyDescent="0.2">
      <c r="A13" s="1" t="str">
        <f>VLOOKUP(B13,'ניקוד יועצים'!A:L,12,0)</f>
        <v>רושם</v>
      </c>
      <c r="B13" s="6" t="s">
        <v>100</v>
      </c>
      <c r="C13" s="1">
        <f>VLOOKUP(B13,'ניקוד יועצים'!A:B,2,0)</f>
        <v>0</v>
      </c>
      <c r="D13" s="1" t="str">
        <f t="shared" si="0"/>
        <v/>
      </c>
      <c r="E13" s="32" t="str">
        <f>VLOOKUP(B13,'ניקוד יועצים'!A:C,3,0)</f>
        <v>נסיון מנהל הביקורת</v>
      </c>
      <c r="F13" s="1" t="str">
        <f>IF(A13='נתונים כלליים'!$A$3,"סיכום","יש להזין נתון")</f>
        <v>יש להזין נתון</v>
      </c>
      <c r="G13" s="33"/>
      <c r="H13" s="14">
        <f>IF(G13&gt;7,1,G13/7)</f>
        <v>0</v>
      </c>
      <c r="I13" s="15">
        <f>VLOOKUP(B13,'ניקוד יועצים'!A:I,9,0)</f>
        <v>9.7000000000000003E-2</v>
      </c>
      <c r="J13" s="2">
        <f>H13*I13</f>
        <v>0</v>
      </c>
      <c r="K13" s="1"/>
      <c r="L13" s="33"/>
      <c r="M13" s="1"/>
      <c r="N13" t="s">
        <v>112</v>
      </c>
    </row>
    <row r="14" spans="1:14" x14ac:dyDescent="0.2">
      <c r="A14" s="1" t="str">
        <f>VLOOKUP(B14,'ניקוד יועצים'!A:L,12,0)</f>
        <v>רושם</v>
      </c>
      <c r="B14" s="6" t="s">
        <v>101</v>
      </c>
      <c r="C14" s="1">
        <f>VLOOKUP(B14,'ניקוד יועצים'!A:B,2,0)</f>
        <v>0</v>
      </c>
      <c r="D14" s="1" t="str">
        <f t="shared" si="0"/>
        <v/>
      </c>
      <c r="E14" s="32" t="str">
        <f>VLOOKUP(B14,'ניקוד יועצים'!A:C,3,0)</f>
        <v>מספר שנות נסיון של הצוות (לא כולל מנהל הביקורת והשותף)</v>
      </c>
      <c r="F14" s="1" t="str">
        <f>IF(A14='נתונים כלליים'!$A$3,"סיכום","יש להזין נתון")</f>
        <v>יש להזין נתון</v>
      </c>
      <c r="G14" s="33"/>
      <c r="H14" s="14">
        <f>IF(G14&gt;4,1,G14/4)</f>
        <v>0</v>
      </c>
      <c r="I14" s="15">
        <f>VLOOKUP(B14,'ניקוד יועצים'!A:I,9,0)</f>
        <v>6.5000000000000002E-2</v>
      </c>
      <c r="J14" s="2">
        <f>H14*I14</f>
        <v>0</v>
      </c>
      <c r="K14" s="1"/>
      <c r="L14" s="33"/>
      <c r="M14" s="1"/>
      <c r="N14" t="s">
        <v>72</v>
      </c>
    </row>
    <row r="16" spans="1:14" x14ac:dyDescent="0.2">
      <c r="J16" s="48" t="s">
        <v>68</v>
      </c>
      <c r="K16" s="46">
        <f>SUM(K5:K14)</f>
        <v>0</v>
      </c>
    </row>
  </sheetData>
  <sheetProtection password="C653" sheet="1" objects="1" scenarios="1"/>
  <protectedRanges>
    <protectedRange sqref="E21 L7 L9 L10 L11 L13 L14" name="טווח2"/>
    <protectedRange sqref="G7 G9 G10 G11 G13 G14" name="טווח1"/>
  </protectedRanges>
  <pageMargins left="0.7" right="0.7" top="0.75" bottom="0.75" header="0.3" footer="0.3"/>
  <pageSetup paperSize="9"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AJ40"/>
  <sheetViews>
    <sheetView rightToLeft="1" workbookViewId="0">
      <selection activeCell="C49" sqref="C49"/>
    </sheetView>
  </sheetViews>
  <sheetFormatPr defaultRowHeight="14.25" x14ac:dyDescent="0.2"/>
  <cols>
    <col min="1" max="1" width="3.125" customWidth="1"/>
    <col min="4" max="4" width="3.125" customWidth="1"/>
    <col min="6" max="6" width="3.125" hidden="1" customWidth="1"/>
    <col min="7" max="7" width="0" hidden="1" customWidth="1"/>
    <col min="8" max="8" width="3.125" hidden="1" customWidth="1"/>
    <col min="9" max="9" width="0" hidden="1" customWidth="1"/>
    <col min="10" max="10" width="3.125" customWidth="1"/>
    <col min="11" max="11" width="16.75" bestFit="1" customWidth="1"/>
    <col min="14" max="14" width="12.5" customWidth="1"/>
    <col min="15" max="15" width="9" hidden="1" customWidth="1"/>
    <col min="16" max="16" width="2.875" hidden="1" customWidth="1"/>
    <col min="17" max="17" width="9" hidden="1" customWidth="1"/>
    <col min="18" max="18" width="2.75" hidden="1" customWidth="1"/>
    <col min="19" max="19" width="9" hidden="1" customWidth="1"/>
    <col min="20" max="20" width="3.125" hidden="1" customWidth="1"/>
    <col min="21" max="21" width="9" hidden="1" customWidth="1"/>
    <col min="22" max="22" width="3.5" hidden="1" customWidth="1"/>
    <col min="23" max="28" width="9" hidden="1" customWidth="1"/>
    <col min="29" max="29" width="9" customWidth="1"/>
  </cols>
  <sheetData>
    <row r="2" spans="2:36" ht="15" x14ac:dyDescent="0.25">
      <c r="B2" s="23" t="s">
        <v>49</v>
      </c>
      <c r="R2" s="23" t="s">
        <v>50</v>
      </c>
    </row>
    <row r="3" spans="2:36" ht="15" x14ac:dyDescent="0.25">
      <c r="E3" s="24" t="s">
        <v>51</v>
      </c>
      <c r="F3" s="25"/>
      <c r="G3" s="24" t="s">
        <v>52</v>
      </c>
      <c r="H3" s="25"/>
      <c r="I3" s="24" t="s">
        <v>53</v>
      </c>
      <c r="J3" s="25"/>
      <c r="K3" s="24" t="s">
        <v>54</v>
      </c>
      <c r="R3" s="24" t="s">
        <v>51</v>
      </c>
      <c r="S3" s="25"/>
      <c r="T3" s="24" t="s">
        <v>52</v>
      </c>
      <c r="U3" s="25"/>
      <c r="V3" s="24" t="s">
        <v>53</v>
      </c>
      <c r="W3" s="25"/>
      <c r="X3" s="24" t="s">
        <v>54</v>
      </c>
      <c r="Y3" s="26"/>
      <c r="Z3" s="24" t="s">
        <v>55</v>
      </c>
      <c r="AB3">
        <v>0</v>
      </c>
    </row>
    <row r="4" spans="2:36" x14ac:dyDescent="0.2">
      <c r="E4" s="27"/>
      <c r="F4" s="27"/>
      <c r="G4" s="27"/>
      <c r="H4" s="27"/>
      <c r="I4" s="27"/>
      <c r="J4" s="27"/>
      <c r="K4" s="27"/>
      <c r="AD4" s="38"/>
      <c r="AE4" s="38"/>
      <c r="AF4" s="38"/>
      <c r="AG4" s="38"/>
      <c r="AH4" s="38"/>
      <c r="AI4" s="38"/>
      <c r="AJ4" s="38"/>
    </row>
    <row r="5" spans="2:36" ht="15" x14ac:dyDescent="0.25">
      <c r="C5" s="28" t="s">
        <v>56</v>
      </c>
      <c r="E5" s="34"/>
      <c r="F5" s="27"/>
      <c r="G5" s="34"/>
      <c r="H5" s="27"/>
      <c r="I5" s="34"/>
      <c r="J5" s="27"/>
      <c r="K5" s="34"/>
      <c r="Q5" t="s">
        <v>56</v>
      </c>
      <c r="R5" s="60">
        <v>5</v>
      </c>
      <c r="S5" s="60"/>
      <c r="T5" s="60">
        <v>0</v>
      </c>
      <c r="U5" s="60"/>
      <c r="V5" s="60">
        <v>0</v>
      </c>
      <c r="W5" s="60"/>
      <c r="X5" s="60">
        <v>5</v>
      </c>
      <c r="Z5">
        <f>SUM(R5:X5)</f>
        <v>10</v>
      </c>
      <c r="AD5" s="38"/>
      <c r="AE5" s="38"/>
      <c r="AF5" s="38"/>
      <c r="AG5" s="38"/>
      <c r="AH5" s="38"/>
      <c r="AI5" s="38"/>
      <c r="AJ5" s="38"/>
    </row>
    <row r="6" spans="2:36" ht="15" x14ac:dyDescent="0.25">
      <c r="C6" s="28"/>
      <c r="E6" s="27"/>
      <c r="F6" s="27"/>
      <c r="G6" s="27"/>
      <c r="H6" s="27"/>
      <c r="I6" s="27"/>
      <c r="J6" s="27"/>
      <c r="K6" s="27"/>
      <c r="R6" s="60"/>
      <c r="S6" s="60"/>
      <c r="T6" s="60"/>
      <c r="U6" s="60"/>
      <c r="V6" s="60"/>
      <c r="W6" s="60"/>
      <c r="X6" s="60"/>
      <c r="AD6" s="38"/>
      <c r="AE6" s="38"/>
      <c r="AF6" s="38"/>
      <c r="AG6" s="38"/>
      <c r="AH6" s="38"/>
      <c r="AI6" s="38"/>
      <c r="AJ6" s="38"/>
    </row>
    <row r="7" spans="2:36" ht="15" x14ac:dyDescent="0.25">
      <c r="C7" s="28" t="s">
        <v>57</v>
      </c>
      <c r="E7" s="34"/>
      <c r="F7" s="27"/>
      <c r="G7" s="34"/>
      <c r="H7" s="27"/>
      <c r="I7" s="34"/>
      <c r="J7" s="27"/>
      <c r="K7" s="34"/>
      <c r="Q7" t="s">
        <v>57</v>
      </c>
      <c r="R7" s="60">
        <v>10</v>
      </c>
      <c r="S7" s="60"/>
      <c r="T7" s="60">
        <v>0</v>
      </c>
      <c r="U7" s="60"/>
      <c r="V7" s="60">
        <v>0</v>
      </c>
      <c r="W7" s="60"/>
      <c r="X7" s="60">
        <v>10</v>
      </c>
      <c r="Z7">
        <f>SUM(R7:X7)</f>
        <v>20</v>
      </c>
      <c r="AD7" s="38"/>
      <c r="AE7" s="38"/>
      <c r="AF7" s="38"/>
      <c r="AG7" s="38"/>
      <c r="AH7" s="38"/>
      <c r="AI7" s="38"/>
      <c r="AJ7" s="38"/>
    </row>
    <row r="8" spans="2:36" ht="15" x14ac:dyDescent="0.25">
      <c r="C8" s="28"/>
      <c r="E8" s="27"/>
      <c r="F8" s="27"/>
      <c r="G8" s="27"/>
      <c r="H8" s="27"/>
      <c r="I8" s="27"/>
      <c r="J8" s="27"/>
      <c r="K8" s="27"/>
      <c r="R8" s="60"/>
      <c r="S8" s="60"/>
      <c r="T8" s="60"/>
      <c r="U8" s="60"/>
      <c r="V8" s="60"/>
      <c r="W8" s="60"/>
      <c r="X8" s="60"/>
      <c r="AD8" s="38"/>
      <c r="AE8" s="38"/>
      <c r="AF8" s="38"/>
      <c r="AG8" s="38"/>
      <c r="AH8" s="38"/>
      <c r="AI8" s="38"/>
      <c r="AJ8" s="38"/>
    </row>
    <row r="9" spans="2:36" ht="60" x14ac:dyDescent="0.25">
      <c r="C9" s="42" t="s">
        <v>66</v>
      </c>
      <c r="E9" s="34"/>
      <c r="F9" s="27"/>
      <c r="G9" s="34"/>
      <c r="H9" s="27"/>
      <c r="I9" s="34"/>
      <c r="J9" s="27"/>
      <c r="K9" s="34"/>
      <c r="Q9" s="41" t="s">
        <v>66</v>
      </c>
      <c r="R9" s="60">
        <v>20</v>
      </c>
      <c r="S9" s="60"/>
      <c r="T9" s="60">
        <v>0</v>
      </c>
      <c r="U9" s="60"/>
      <c r="V9" s="60">
        <v>0</v>
      </c>
      <c r="W9" s="60"/>
      <c r="X9" s="60">
        <v>20</v>
      </c>
      <c r="Z9">
        <f>SUM(R9:X9)</f>
        <v>40</v>
      </c>
    </row>
    <row r="10" spans="2:36" ht="15" x14ac:dyDescent="0.25">
      <c r="C10" s="28"/>
      <c r="E10" s="38"/>
      <c r="F10" s="38"/>
      <c r="G10" s="38"/>
      <c r="H10" s="38"/>
      <c r="I10" s="38"/>
      <c r="J10" s="38"/>
      <c r="K10" s="38"/>
      <c r="Z10" s="39"/>
    </row>
    <row r="11" spans="2:36" ht="15.75" thickBot="1" x14ac:dyDescent="0.3">
      <c r="C11" s="28"/>
      <c r="E11" s="38"/>
      <c r="F11" s="38"/>
      <c r="G11" s="38"/>
      <c r="H11" s="38"/>
      <c r="I11" s="38"/>
      <c r="J11" s="38"/>
      <c r="K11" s="38"/>
      <c r="Z11" s="40">
        <f>SUM(Z5:Z9)</f>
        <v>70</v>
      </c>
    </row>
    <row r="12" spans="2:36" ht="15" thickTop="1" x14ac:dyDescent="0.2">
      <c r="E12" s="27"/>
      <c r="F12" s="27"/>
      <c r="G12" s="27"/>
      <c r="H12" s="27"/>
      <c r="I12" s="27"/>
      <c r="J12" s="27"/>
      <c r="K12" s="27"/>
    </row>
    <row r="13" spans="2:36" hidden="1" x14ac:dyDescent="0.2">
      <c r="E13" s="27"/>
      <c r="F13" s="27"/>
      <c r="G13" s="27"/>
      <c r="H13" s="27"/>
      <c r="I13" s="27"/>
      <c r="J13" s="27"/>
      <c r="K13" s="27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2:36" hidden="1" x14ac:dyDescent="0.2">
      <c r="E14" s="27"/>
      <c r="F14" s="27"/>
      <c r="G14" s="27"/>
      <c r="H14" s="27"/>
      <c r="I14" s="27"/>
      <c r="J14" s="27"/>
      <c r="K14" s="27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2:36" hidden="1" x14ac:dyDescent="0.2">
      <c r="E15" s="27"/>
      <c r="F15" s="27"/>
      <c r="G15" s="27"/>
      <c r="H15" s="27"/>
      <c r="I15" s="27"/>
      <c r="J15" s="27"/>
      <c r="K15" s="27"/>
      <c r="M15" s="43"/>
      <c r="N15" s="9"/>
      <c r="O15" s="9"/>
      <c r="P15" s="9"/>
      <c r="Q15" s="9"/>
      <c r="R15" s="9"/>
      <c r="S15" s="9"/>
      <c r="T15" s="9"/>
      <c r="U15" s="9"/>
    </row>
    <row r="16" spans="2:36" hidden="1" x14ac:dyDescent="0.2">
      <c r="E16" s="27"/>
      <c r="F16" s="27"/>
      <c r="G16" s="27"/>
      <c r="H16" s="27"/>
      <c r="I16" s="27"/>
      <c r="J16" s="27"/>
      <c r="K16" s="27"/>
      <c r="M16" s="43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</row>
    <row r="17" spans="2:30" ht="15" hidden="1" x14ac:dyDescent="0.25">
      <c r="B17" s="23" t="s">
        <v>58</v>
      </c>
      <c r="E17" s="27"/>
      <c r="F17" s="27"/>
      <c r="G17" s="27"/>
      <c r="H17" s="27"/>
      <c r="I17" s="27"/>
      <c r="J17" s="27"/>
      <c r="K17" s="27"/>
      <c r="M17" s="43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2:30" ht="15" hidden="1" x14ac:dyDescent="0.25">
      <c r="E18" s="24" t="s">
        <v>51</v>
      </c>
      <c r="F18" s="25"/>
      <c r="G18" s="24" t="s">
        <v>52</v>
      </c>
      <c r="H18" s="25"/>
      <c r="I18" s="24" t="s">
        <v>53</v>
      </c>
      <c r="J18" s="25"/>
      <c r="K18" s="24" t="s">
        <v>54</v>
      </c>
      <c r="M18" s="43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r="19" spans="2:30" hidden="1" x14ac:dyDescent="0.2">
      <c r="E19" s="27"/>
      <c r="F19" s="27"/>
      <c r="G19" s="27"/>
      <c r="H19" s="27"/>
      <c r="I19" s="27"/>
      <c r="J19" s="27"/>
      <c r="K19" s="27"/>
      <c r="M19" s="43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</row>
    <row r="20" spans="2:30" ht="15" hidden="1" x14ac:dyDescent="0.25">
      <c r="C20" s="28" t="s">
        <v>56</v>
      </c>
      <c r="E20" s="27">
        <f>IF((R5-E5)&gt;$AB$3,R5-E5,$AB$3)</f>
        <v>5</v>
      </c>
      <c r="F20" s="27"/>
      <c r="G20" s="27">
        <f>IF((T5-G5)&gt;$AB$3,T5-G5,$AB$3)</f>
        <v>0</v>
      </c>
      <c r="H20" s="27"/>
      <c r="I20" s="27">
        <f>IF((V5-I5)&gt;$AB$3,V5-I5,$AB$3)</f>
        <v>0</v>
      </c>
      <c r="J20" s="27"/>
      <c r="K20" s="27">
        <f>IF((X5-K5)&gt;$AB$3,X5-K5,$AB$3)</f>
        <v>5</v>
      </c>
      <c r="M20" s="43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</row>
    <row r="21" spans="2:30" ht="15" hidden="1" x14ac:dyDescent="0.25">
      <c r="C21" s="28"/>
      <c r="E21" s="27"/>
      <c r="F21" s="27"/>
      <c r="G21" s="27"/>
      <c r="H21" s="27"/>
      <c r="I21" s="27"/>
      <c r="J21" s="27"/>
      <c r="K21" s="27"/>
      <c r="M21" s="43"/>
    </row>
    <row r="22" spans="2:30" ht="15" hidden="1" x14ac:dyDescent="0.25">
      <c r="C22" s="28" t="s">
        <v>57</v>
      </c>
      <c r="E22" s="27">
        <f>IF((R7-E7)&gt;$AB$3,R7-E7,$AB$3)</f>
        <v>10</v>
      </c>
      <c r="F22" s="27"/>
      <c r="G22" s="27">
        <f>IF((T7-G7)&gt;$AB$3,T7-G7,$AB$3)</f>
        <v>0</v>
      </c>
      <c r="H22" s="27"/>
      <c r="I22" s="27">
        <f>IF((V7-I7)&gt;$AB$3,V7-I7,$AB$3)</f>
        <v>0</v>
      </c>
      <c r="J22" s="27"/>
      <c r="K22" s="27">
        <f>IF((X7-K7)&gt;$AB$3,X7-K7,$AB$3)</f>
        <v>10</v>
      </c>
      <c r="M22" s="43"/>
      <c r="O22" s="26"/>
      <c r="P22" s="26"/>
      <c r="Q22" s="26"/>
      <c r="R22" s="26"/>
      <c r="S22" s="26"/>
      <c r="T22" s="26"/>
      <c r="U22" s="26"/>
      <c r="V22" s="26"/>
      <c r="W22" s="26"/>
    </row>
    <row r="23" spans="2:30" ht="15" hidden="1" x14ac:dyDescent="0.25">
      <c r="C23" s="28"/>
      <c r="E23" s="27"/>
      <c r="F23" s="27"/>
      <c r="G23" s="27"/>
      <c r="H23" s="27"/>
      <c r="I23" s="27"/>
      <c r="J23" s="27"/>
      <c r="K23" s="27"/>
      <c r="M23" s="43"/>
    </row>
    <row r="24" spans="2:30" ht="60" hidden="1" x14ac:dyDescent="0.25">
      <c r="C24" s="42" t="s">
        <v>66</v>
      </c>
      <c r="E24" s="27">
        <f>IF((R9-E9)&gt;$AB$3,R9-E9,$AB$3)</f>
        <v>20</v>
      </c>
      <c r="F24" s="27"/>
      <c r="G24" s="27">
        <f>IF((T9-G9)&gt;$AB$3,T9-G9,$AB$3)</f>
        <v>0</v>
      </c>
      <c r="H24" s="27"/>
      <c r="I24" s="27">
        <f>IF((V9-I9)&gt;$AB$3,V9-I9,$AB$3)</f>
        <v>0</v>
      </c>
      <c r="J24" s="27"/>
      <c r="K24" s="27">
        <f>IF((X9-K9)&gt;$AB$3,X9-K9,$AB$3)</f>
        <v>20</v>
      </c>
      <c r="M24" s="43"/>
    </row>
    <row r="25" spans="2:30" ht="15" hidden="1" x14ac:dyDescent="0.25">
      <c r="C25" s="28"/>
      <c r="E25" s="29"/>
      <c r="F25" s="27"/>
      <c r="G25" s="30"/>
      <c r="H25" s="27"/>
      <c r="I25" s="30"/>
      <c r="J25" s="27"/>
      <c r="K25" s="30"/>
      <c r="M25" s="43"/>
    </row>
    <row r="26" spans="2:30" ht="15" hidden="1" x14ac:dyDescent="0.25">
      <c r="C26" s="28" t="s">
        <v>55</v>
      </c>
      <c r="E26" s="37">
        <f>(E24+E22+E20)</f>
        <v>35</v>
      </c>
      <c r="F26" s="37"/>
      <c r="G26" s="37">
        <f>(G24+G22+G20)</f>
        <v>0</v>
      </c>
      <c r="H26" s="37"/>
      <c r="I26" s="37">
        <f>(I24+I22+I20)</f>
        <v>0</v>
      </c>
      <c r="J26" s="27"/>
      <c r="K26" s="37">
        <f>(K24+K22+K20)</f>
        <v>35</v>
      </c>
      <c r="M26" s="54"/>
      <c r="N26" s="54"/>
    </row>
    <row r="27" spans="2:30" ht="15" hidden="1" x14ac:dyDescent="0.25">
      <c r="C27" s="28"/>
      <c r="E27" s="27"/>
      <c r="F27" s="27"/>
      <c r="G27" s="27"/>
      <c r="H27" s="27"/>
      <c r="I27" s="51"/>
      <c r="J27" s="51"/>
      <c r="K27" s="51"/>
      <c r="L27" s="43"/>
      <c r="M27" s="54"/>
      <c r="N27" s="54"/>
    </row>
    <row r="28" spans="2:30" ht="15.75" hidden="1" thickBot="1" x14ac:dyDescent="0.3">
      <c r="E28" s="27"/>
      <c r="F28" s="27"/>
      <c r="G28" s="27"/>
      <c r="H28" s="27"/>
      <c r="I28" s="51"/>
      <c r="J28" s="51"/>
      <c r="K28" s="56">
        <f>(Z11-(K26+I26+G26+E26))/Z11*100</f>
        <v>0</v>
      </c>
      <c r="L28" s="43"/>
      <c r="M28" s="55"/>
      <c r="N28" s="54"/>
    </row>
    <row r="29" spans="2:30" ht="15.75" thickBot="1" x14ac:dyDescent="0.3">
      <c r="C29" s="28"/>
      <c r="I29" s="43"/>
      <c r="J29" s="43"/>
      <c r="K29" s="43"/>
      <c r="L29" s="43"/>
      <c r="M29" s="54"/>
      <c r="N29" s="54"/>
    </row>
    <row r="30" spans="2:30" ht="15.75" thickBot="1" x14ac:dyDescent="0.3">
      <c r="C30" s="28" t="s">
        <v>104</v>
      </c>
      <c r="I30" s="43"/>
      <c r="J30" s="43"/>
      <c r="K30" s="57">
        <f>3.3%*K28/100</f>
        <v>0</v>
      </c>
      <c r="L30" s="43"/>
      <c r="M30" s="54"/>
      <c r="N30" s="54"/>
    </row>
    <row r="31" spans="2:30" x14ac:dyDescent="0.2">
      <c r="M31" s="54"/>
      <c r="N31" s="54"/>
    </row>
    <row r="32" spans="2:30" ht="15" hidden="1" x14ac:dyDescent="0.25">
      <c r="C32" s="23" t="s">
        <v>84</v>
      </c>
      <c r="M32" s="43"/>
      <c r="O32" s="53"/>
      <c r="AD32">
        <v>100</v>
      </c>
    </row>
    <row r="33" spans="3:30" hidden="1" x14ac:dyDescent="0.2">
      <c r="AD33">
        <v>0</v>
      </c>
    </row>
    <row r="34" spans="3:30" ht="15" hidden="1" x14ac:dyDescent="0.25">
      <c r="E34" s="24" t="s">
        <v>51</v>
      </c>
      <c r="F34" s="25"/>
      <c r="G34" s="24" t="s">
        <v>52</v>
      </c>
      <c r="H34" s="25"/>
      <c r="I34" s="24" t="s">
        <v>53</v>
      </c>
      <c r="J34" s="25"/>
      <c r="K34" s="24" t="s">
        <v>54</v>
      </c>
    </row>
    <row r="35" spans="3:30" hidden="1" x14ac:dyDescent="0.2">
      <c r="E35" s="27"/>
      <c r="F35" s="27"/>
      <c r="G35" s="27"/>
      <c r="H35" s="27"/>
      <c r="I35" s="27"/>
      <c r="J35" s="27"/>
      <c r="K35" s="27"/>
    </row>
    <row r="36" spans="3:30" ht="15" hidden="1" x14ac:dyDescent="0.25">
      <c r="C36" s="28" t="s">
        <v>56</v>
      </c>
      <c r="E36" s="34">
        <v>5</v>
      </c>
      <c r="F36" s="27"/>
      <c r="G36" s="34">
        <v>1</v>
      </c>
      <c r="H36" s="27"/>
      <c r="I36" s="34">
        <v>1</v>
      </c>
      <c r="J36" s="27"/>
      <c r="K36" s="34">
        <v>0</v>
      </c>
    </row>
    <row r="37" spans="3:30" ht="15" hidden="1" x14ac:dyDescent="0.25">
      <c r="C37" s="28"/>
      <c r="E37" s="27"/>
      <c r="F37" s="27"/>
      <c r="G37" s="27"/>
      <c r="H37" s="27"/>
      <c r="I37" s="27"/>
      <c r="J37" s="27"/>
      <c r="K37" s="27"/>
    </row>
    <row r="38" spans="3:30" ht="15" hidden="1" x14ac:dyDescent="0.25">
      <c r="C38" s="28" t="s">
        <v>57</v>
      </c>
      <c r="E38" s="34">
        <v>0</v>
      </c>
      <c r="F38" s="27"/>
      <c r="G38" s="34">
        <v>0</v>
      </c>
      <c r="H38" s="27"/>
      <c r="I38" s="34">
        <v>0</v>
      </c>
      <c r="J38" s="27"/>
      <c r="K38" s="34">
        <v>0</v>
      </c>
    </row>
    <row r="39" spans="3:30" ht="15" hidden="1" x14ac:dyDescent="0.25">
      <c r="C39" s="28"/>
      <c r="E39" s="27"/>
      <c r="F39" s="27"/>
      <c r="G39" s="27"/>
      <c r="H39" s="27"/>
      <c r="I39" s="27"/>
      <c r="J39" s="27"/>
      <c r="K39" s="27"/>
    </row>
    <row r="40" spans="3:30" ht="60" hidden="1" x14ac:dyDescent="0.25">
      <c r="C40" s="42" t="s">
        <v>66</v>
      </c>
      <c r="E40" s="34">
        <v>50</v>
      </c>
      <c r="F40" s="27"/>
      <c r="G40" s="34">
        <v>0</v>
      </c>
      <c r="H40" s="27"/>
      <c r="I40" s="34">
        <v>10</v>
      </c>
      <c r="J40" s="27"/>
      <c r="K40" s="34">
        <v>0</v>
      </c>
    </row>
  </sheetData>
  <sheetProtection password="C653" sheet="1" objects="1" scenarios="1"/>
  <protectedRanges>
    <protectedRange sqref="E5 G5 I5 K5 K7 I7 G7 E7 E9 G9 I9 K9" name="טווח1"/>
  </protectedRange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H31"/>
  <sheetViews>
    <sheetView rightToLeft="1" workbookViewId="0">
      <selection activeCell="C22" sqref="C22:C23"/>
    </sheetView>
  </sheetViews>
  <sheetFormatPr defaultRowHeight="14.25" x14ac:dyDescent="0.2"/>
  <cols>
    <col min="1" max="1" width="3.5" customWidth="1"/>
    <col min="2" max="2" width="1.875" bestFit="1" customWidth="1"/>
  </cols>
  <sheetData>
    <row r="2" spans="2:8" ht="15" x14ac:dyDescent="0.25">
      <c r="C2" s="23" t="s">
        <v>65</v>
      </c>
    </row>
    <row r="4" spans="2:8" x14ac:dyDescent="0.2">
      <c r="B4" t="s">
        <v>62</v>
      </c>
      <c r="C4" t="s">
        <v>90</v>
      </c>
    </row>
    <row r="6" spans="2:8" x14ac:dyDescent="0.2">
      <c r="B6" t="s">
        <v>62</v>
      </c>
      <c r="C6" s="60" t="s">
        <v>122</v>
      </c>
      <c r="D6" s="60"/>
      <c r="E6" s="60"/>
      <c r="F6" s="60"/>
      <c r="G6" s="60"/>
      <c r="H6" s="60"/>
    </row>
    <row r="8" spans="2:8" x14ac:dyDescent="0.2">
      <c r="B8" t="s">
        <v>62</v>
      </c>
      <c r="C8" t="s">
        <v>113</v>
      </c>
    </row>
    <row r="9" spans="2:8" x14ac:dyDescent="0.2">
      <c r="C9" t="s">
        <v>114</v>
      </c>
    </row>
    <row r="11" spans="2:8" x14ac:dyDescent="0.2">
      <c r="B11" t="s">
        <v>62</v>
      </c>
      <c r="C11" t="s">
        <v>88</v>
      </c>
    </row>
    <row r="13" spans="2:8" x14ac:dyDescent="0.2">
      <c r="B13" t="s">
        <v>62</v>
      </c>
      <c r="C13" t="s">
        <v>76</v>
      </c>
    </row>
    <row r="15" spans="2:8" x14ac:dyDescent="0.2">
      <c r="B15" t="s">
        <v>62</v>
      </c>
      <c r="C15" t="s">
        <v>75</v>
      </c>
    </row>
    <row r="16" spans="2:8" x14ac:dyDescent="0.2">
      <c r="C16" t="s">
        <v>74</v>
      </c>
    </row>
    <row r="18" spans="2:3" x14ac:dyDescent="0.2">
      <c r="B18" t="s">
        <v>73</v>
      </c>
      <c r="C18" t="s">
        <v>64</v>
      </c>
    </row>
    <row r="20" spans="2:3" ht="15" x14ac:dyDescent="0.25">
      <c r="B20" t="s">
        <v>62</v>
      </c>
      <c r="C20" s="28" t="s">
        <v>89</v>
      </c>
    </row>
    <row r="22" spans="2:3" x14ac:dyDescent="0.2">
      <c r="B22" t="s">
        <v>62</v>
      </c>
      <c r="C22" s="52" t="s">
        <v>123</v>
      </c>
    </row>
    <row r="23" spans="2:3" x14ac:dyDescent="0.2">
      <c r="C23" s="52" t="s">
        <v>124</v>
      </c>
    </row>
    <row r="25" spans="2:3" x14ac:dyDescent="0.2">
      <c r="C25" t="s">
        <v>85</v>
      </c>
    </row>
    <row r="26" spans="2:3" x14ac:dyDescent="0.2">
      <c r="B26" t="s">
        <v>83</v>
      </c>
      <c r="C26" t="s">
        <v>86</v>
      </c>
    </row>
    <row r="27" spans="2:3" x14ac:dyDescent="0.2">
      <c r="B27" t="s">
        <v>83</v>
      </c>
      <c r="C27" t="s">
        <v>115</v>
      </c>
    </row>
    <row r="28" spans="2:3" x14ac:dyDescent="0.2">
      <c r="B28" t="s">
        <v>83</v>
      </c>
      <c r="C28" t="s">
        <v>87</v>
      </c>
    </row>
    <row r="29" spans="2:3" x14ac:dyDescent="0.2">
      <c r="B29" t="s">
        <v>83</v>
      </c>
      <c r="C29" t="s">
        <v>115</v>
      </c>
    </row>
    <row r="30" spans="2:3" x14ac:dyDescent="0.2">
      <c r="B30" t="s">
        <v>83</v>
      </c>
      <c r="C30" t="s">
        <v>82</v>
      </c>
    </row>
    <row r="31" spans="2:3" x14ac:dyDescent="0.2">
      <c r="B31" t="s">
        <v>83</v>
      </c>
      <c r="C31" t="s">
        <v>115</v>
      </c>
    </row>
  </sheetData>
  <sheetProtection password="C653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5</vt:i4>
      </vt:variant>
    </vt:vector>
  </HeadingPairs>
  <TitlesOfParts>
    <vt:vector size="5" baseType="lpstr">
      <vt:lpstr>ניקוד יועצים</vt:lpstr>
      <vt:lpstr>נתונים כלליים</vt:lpstr>
      <vt:lpstr>ביקורת</vt:lpstr>
      <vt:lpstr>פילוח עובדים</vt:lpstr>
      <vt:lpstr>הבהרות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Mrbasis</dc:creator>
  <cp:lastModifiedBy>אליסף אלעזר</cp:lastModifiedBy>
  <cp:lastPrinted>2014-05-18T08:54:52Z</cp:lastPrinted>
  <dcterms:created xsi:type="dcterms:W3CDTF">2014-05-05T06:17:33Z</dcterms:created>
  <dcterms:modified xsi:type="dcterms:W3CDTF">2017-08-09T09:12:31Z</dcterms:modified>
</cp:coreProperties>
</file>